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DEMANDE DE PERSONNEL" sheetId="1" r:id="rId1"/>
    <sheet name="FEUILLE 2" sheetId="2" r:id="rId2"/>
    <sheet name="SALAIRE" sheetId="3" r:id="rId3"/>
    <sheet name="1" sheetId="4" r:id="rId4"/>
    <sheet name="2" sheetId="5" r:id="rId5"/>
    <sheet name="3" sheetId="6" r:id="rId6"/>
    <sheet name="4" sheetId="7" r:id="rId7"/>
    <sheet name="-" sheetId="8" r:id="rId8"/>
  </sheets>
  <externalReferences>
    <externalReference r:id="rId11"/>
  </externalReferences>
  <definedNames>
    <definedName name="Brut_de_base_hors_TEPA2" localSheetId="3">'1'!$C$4</definedName>
    <definedName name="Brut_de_base_hors_TEPA2" localSheetId="4">'2'!$C$4</definedName>
    <definedName name="Brut_de_base_hors_TEPA2" localSheetId="5">'3'!$C$4</definedName>
    <definedName name="Brut_de_base_hors_TEPA2" localSheetId="6">'4'!$C$4</definedName>
    <definedName name="Brut_de_base_hors_TEPA2">'SALAIRE'!#REF!</definedName>
    <definedName name="brut_TEPA2" localSheetId="3">'1'!$C$6</definedName>
    <definedName name="brut_TEPA2" localSheetId="4">'2'!$C$6</definedName>
    <definedName name="brut_TEPA2" localSheetId="5">'3'!$C$6</definedName>
    <definedName name="brut_TEPA2" localSheetId="6">'4'!$C$6</definedName>
    <definedName name="brut_TEPA2">'SALAIRE'!#REF!</definedName>
    <definedName name="BRUT_TOTAL2" localSheetId="3">'1'!$C$7</definedName>
    <definedName name="BRUT_TOTAL2" localSheetId="4">'2'!$C$7</definedName>
    <definedName name="BRUT_TOTAL2" localSheetId="5">'3'!$C$7</definedName>
    <definedName name="BRUT_TOTAL2" localSheetId="6">'4'!$C$7</definedName>
    <definedName name="BRUT_TOTAL2">'SALAIRE'!#REF!</definedName>
    <definedName name="CDR">'-'!$D$2:$D$10</definedName>
    <definedName name="CDR2">'-'!$D$2:$D$10</definedName>
    <definedName name="Coeff.réduc.">#REF!</definedName>
    <definedName name="Csg_rds_hres_sup2">#REF!</definedName>
    <definedName name="EVT">'[1]DONNEES'!$A$1:$A$6</definedName>
    <definedName name="JOUR">'-'!$B$15:$B$45</definedName>
    <definedName name="LISTE1">'-'!$D$2:$D$10</definedName>
    <definedName name="liste2">'-'!$D$2:$D$10</definedName>
    <definedName name="MALADIE">'-'!$B$5:$B$9</definedName>
    <definedName name="MOTIF">'-'!$B$4:$B$9</definedName>
    <definedName name="MOTIFS">'-'!$B$4:$B$10</definedName>
    <definedName name="MOTIFSFINAL">'-'!$B$4:$B$13</definedName>
    <definedName name="Nb_d_h_rémunérées_2" localSheetId="3">'1'!$C$8</definedName>
    <definedName name="Nb_d_h_rémunérées_2" localSheetId="4">'2'!$C$8</definedName>
    <definedName name="Nb_d_h_rémunérées_2" localSheetId="5">'3'!$C$8</definedName>
    <definedName name="Nb_d_h_rémunérées_2" localSheetId="6">'4'!$C$8</definedName>
    <definedName name="Nb_d_h_rémunérées_2">'SALAIRE'!#REF!</definedName>
    <definedName name="Net" localSheetId="3">'1'!$H$85</definedName>
    <definedName name="Net" localSheetId="4">'2'!$H$85</definedName>
    <definedName name="Net" localSheetId="5">'3'!$H$85</definedName>
    <definedName name="Net" localSheetId="6">'4'!$H$85</definedName>
    <definedName name="Net" localSheetId="2">'SALAIRE'!#REF!</definedName>
    <definedName name="Net_simulé_2">#REF!</definedName>
    <definedName name="Plafond_de_passage2" localSheetId="3">'1'!$C$16</definedName>
    <definedName name="Plafond_de_passage2" localSheetId="4">'2'!$C$16</definedName>
    <definedName name="Plafond_de_passage2" localSheetId="5">'3'!$C$16</definedName>
    <definedName name="Plafond_de_passage2" localSheetId="6">'4'!$C$16</definedName>
    <definedName name="Plafond_de_passage2">'SALAIRE'!#REF!</definedName>
    <definedName name="PMSS2" localSheetId="3">'1'!$C$18</definedName>
    <definedName name="PMSS2" localSheetId="4">'2'!$C$18</definedName>
    <definedName name="PMSS2" localSheetId="5">'3'!$C$18</definedName>
    <definedName name="PMSS2" localSheetId="6">'4'!$C$18</definedName>
    <definedName name="PMSS2">'SALAIRE'!#REF!</definedName>
    <definedName name="RECRUTEUR">'-'!$D$2:$D$10</definedName>
    <definedName name="Smic_horaire" localSheetId="3">'1'!$C$20</definedName>
    <definedName name="Smic_horaire" localSheetId="4">'2'!$C$20</definedName>
    <definedName name="Smic_horaire" localSheetId="5">'3'!$C$20</definedName>
    <definedName name="Smic_horaire" localSheetId="6">'4'!$C$20</definedName>
    <definedName name="Smic_horaire">'SALAIRE'!#REF!</definedName>
    <definedName name="TABLEAU">'-'!$B$4:$B$13</definedName>
    <definedName name="ZONE">'-'!$E$59:$E$69</definedName>
  </definedNames>
  <calcPr fullCalcOnLoad="1"/>
</workbook>
</file>

<file path=xl/comments4.xml><?xml version="1.0" encoding="utf-8"?>
<comments xmlns="http://schemas.openxmlformats.org/spreadsheetml/2006/main">
  <authors>
    <author>.</author>
    <author>Gil</author>
  </authors>
  <commentList>
    <comment ref="B9" authorId="0">
      <text>
        <r>
          <rPr>
            <b/>
            <sz val="8"/>
            <rFont val="Tahoma"/>
            <family val="2"/>
          </rPr>
          <t>à renseigner pour les temps partiels</t>
        </r>
        <r>
          <rPr>
            <sz val="8"/>
            <rFont val="Tahoma"/>
            <family val="2"/>
          </rPr>
          <t xml:space="preserve">
</t>
        </r>
      </text>
    </comment>
    <comment ref="B38" authorId="1">
      <text>
        <r>
          <rPr>
            <sz val="8"/>
            <rFont val="Verdana"/>
            <family val="2"/>
          </rPr>
          <t>20 salariés et +</t>
        </r>
        <r>
          <rPr>
            <sz val="8"/>
            <rFont val="Tahoma"/>
            <family val="2"/>
          </rPr>
          <t xml:space="preserve">
</t>
        </r>
      </text>
    </comment>
    <comment ref="B63" authorId="1">
      <text>
        <r>
          <rPr>
            <sz val="8"/>
            <rFont val="Verdana"/>
            <family val="2"/>
          </rPr>
          <t>Entreprises de -10 salariés : 0,55%
Entreprises de 10 à -20 salariés : 1,05%
Entreprises d'au -20 salariés : 1,60%</t>
        </r>
      </text>
    </comment>
    <comment ref="F81" authorId="0">
      <text>
        <r>
          <rPr>
            <b/>
            <sz val="8"/>
            <rFont val="Tahoma"/>
            <family val="2"/>
          </rPr>
          <t>précéder du signe</t>
        </r>
        <r>
          <rPr>
            <b/>
            <sz val="8"/>
            <color indexed="10"/>
            <rFont val="Tahoma"/>
            <family val="2"/>
          </rPr>
          <t xml:space="preserve"> (-)</t>
        </r>
        <r>
          <rPr>
            <sz val="8"/>
            <rFont val="Tahoma"/>
            <family val="2"/>
          </rPr>
          <t xml:space="preserve">
</t>
        </r>
      </text>
    </comment>
  </commentList>
</comments>
</file>

<file path=xl/comments5.xml><?xml version="1.0" encoding="utf-8"?>
<comments xmlns="http://schemas.openxmlformats.org/spreadsheetml/2006/main">
  <authors>
    <author>.</author>
    <author>Gil</author>
  </authors>
  <commentList>
    <comment ref="B9" authorId="0">
      <text>
        <r>
          <rPr>
            <b/>
            <sz val="8"/>
            <rFont val="Tahoma"/>
            <family val="2"/>
          </rPr>
          <t>à renseigner pour les temps partiels</t>
        </r>
        <r>
          <rPr>
            <sz val="8"/>
            <rFont val="Tahoma"/>
            <family val="2"/>
          </rPr>
          <t xml:space="preserve">
</t>
        </r>
      </text>
    </comment>
    <comment ref="B38" authorId="1">
      <text>
        <r>
          <rPr>
            <sz val="8"/>
            <rFont val="Verdana"/>
            <family val="2"/>
          </rPr>
          <t>20 salariés et +</t>
        </r>
        <r>
          <rPr>
            <sz val="8"/>
            <rFont val="Tahoma"/>
            <family val="2"/>
          </rPr>
          <t xml:space="preserve">
</t>
        </r>
      </text>
    </comment>
    <comment ref="B63" authorId="1">
      <text>
        <r>
          <rPr>
            <sz val="8"/>
            <rFont val="Verdana"/>
            <family val="2"/>
          </rPr>
          <t>Entreprises de -10 salariés : 0,55%
Entreprises de 10 à -20 salariés : 1,05%
Entreprises d'au -20 salariés : 1,60%</t>
        </r>
      </text>
    </comment>
    <comment ref="F81" authorId="0">
      <text>
        <r>
          <rPr>
            <b/>
            <sz val="8"/>
            <rFont val="Tahoma"/>
            <family val="2"/>
          </rPr>
          <t>précéder du signe</t>
        </r>
        <r>
          <rPr>
            <b/>
            <sz val="8"/>
            <color indexed="10"/>
            <rFont val="Tahoma"/>
            <family val="2"/>
          </rPr>
          <t xml:space="preserve"> (-)</t>
        </r>
        <r>
          <rPr>
            <sz val="8"/>
            <rFont val="Tahoma"/>
            <family val="2"/>
          </rPr>
          <t xml:space="preserve">
</t>
        </r>
      </text>
    </comment>
  </commentList>
</comments>
</file>

<file path=xl/comments6.xml><?xml version="1.0" encoding="utf-8"?>
<comments xmlns="http://schemas.openxmlformats.org/spreadsheetml/2006/main">
  <authors>
    <author>.</author>
    <author>Gil</author>
  </authors>
  <commentList>
    <comment ref="B9" authorId="0">
      <text>
        <r>
          <rPr>
            <b/>
            <sz val="8"/>
            <rFont val="Tahoma"/>
            <family val="2"/>
          </rPr>
          <t>à renseigner pour les temps partiels</t>
        </r>
        <r>
          <rPr>
            <sz val="8"/>
            <rFont val="Tahoma"/>
            <family val="2"/>
          </rPr>
          <t xml:space="preserve">
</t>
        </r>
      </text>
    </comment>
    <comment ref="B38" authorId="1">
      <text>
        <r>
          <rPr>
            <sz val="8"/>
            <rFont val="Verdana"/>
            <family val="2"/>
          </rPr>
          <t>20 salariés et +</t>
        </r>
        <r>
          <rPr>
            <sz val="8"/>
            <rFont val="Tahoma"/>
            <family val="2"/>
          </rPr>
          <t xml:space="preserve">
</t>
        </r>
      </text>
    </comment>
    <comment ref="B63" authorId="1">
      <text>
        <r>
          <rPr>
            <sz val="8"/>
            <rFont val="Verdana"/>
            <family val="2"/>
          </rPr>
          <t>Entreprises de -10 salariés : 0,55%
Entreprises de 10 à -20 salariés : 1,05%
Entreprises d'au -20 salariés : 1,60%</t>
        </r>
      </text>
    </comment>
    <comment ref="F81" authorId="0">
      <text>
        <r>
          <rPr>
            <b/>
            <sz val="8"/>
            <rFont val="Tahoma"/>
            <family val="2"/>
          </rPr>
          <t>précéder du signe</t>
        </r>
        <r>
          <rPr>
            <b/>
            <sz val="8"/>
            <color indexed="10"/>
            <rFont val="Tahoma"/>
            <family val="2"/>
          </rPr>
          <t xml:space="preserve"> (-)</t>
        </r>
        <r>
          <rPr>
            <sz val="8"/>
            <rFont val="Tahoma"/>
            <family val="2"/>
          </rPr>
          <t xml:space="preserve">
</t>
        </r>
      </text>
    </comment>
  </commentList>
</comments>
</file>

<file path=xl/comments7.xml><?xml version="1.0" encoding="utf-8"?>
<comments xmlns="http://schemas.openxmlformats.org/spreadsheetml/2006/main">
  <authors>
    <author>.</author>
    <author>Gil</author>
  </authors>
  <commentList>
    <comment ref="B9" authorId="0">
      <text>
        <r>
          <rPr>
            <b/>
            <sz val="8"/>
            <rFont val="Tahoma"/>
            <family val="2"/>
          </rPr>
          <t>à renseigner pour les temps partiels</t>
        </r>
        <r>
          <rPr>
            <sz val="8"/>
            <rFont val="Tahoma"/>
            <family val="2"/>
          </rPr>
          <t xml:space="preserve">
</t>
        </r>
      </text>
    </comment>
    <comment ref="B38" authorId="1">
      <text>
        <r>
          <rPr>
            <sz val="8"/>
            <rFont val="Verdana"/>
            <family val="2"/>
          </rPr>
          <t>20 salariés et +</t>
        </r>
        <r>
          <rPr>
            <sz val="8"/>
            <rFont val="Tahoma"/>
            <family val="2"/>
          </rPr>
          <t xml:space="preserve">
</t>
        </r>
      </text>
    </comment>
    <comment ref="B63" authorId="1">
      <text>
        <r>
          <rPr>
            <sz val="8"/>
            <rFont val="Verdana"/>
            <family val="2"/>
          </rPr>
          <t>Entreprises de -10 salariés : 0,55%
Entreprises de 10 à -20 salariés : 1,05%
Entreprises d'au -20 salariés : 1,60%</t>
        </r>
      </text>
    </comment>
    <comment ref="F81" authorId="0">
      <text>
        <r>
          <rPr>
            <b/>
            <sz val="8"/>
            <rFont val="Tahoma"/>
            <family val="2"/>
          </rPr>
          <t>précéder du signe</t>
        </r>
        <r>
          <rPr>
            <b/>
            <sz val="8"/>
            <color indexed="10"/>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<sst xmlns="http://schemas.openxmlformats.org/spreadsheetml/2006/main" count="559" uniqueCount="234">
  <si>
    <t>Janvier</t>
  </si>
  <si>
    <t>Février</t>
  </si>
  <si>
    <t>Mars</t>
  </si>
  <si>
    <t>Avril</t>
  </si>
  <si>
    <t>Mai</t>
  </si>
  <si>
    <t>Juin</t>
  </si>
  <si>
    <t>Juillet</t>
  </si>
  <si>
    <t>Août</t>
  </si>
  <si>
    <t>Septembre</t>
  </si>
  <si>
    <t>Octobre</t>
  </si>
  <si>
    <t>Novembre</t>
  </si>
  <si>
    <t>Décembre</t>
  </si>
  <si>
    <t>ABSENCE</t>
  </si>
  <si>
    <t>RTT</t>
  </si>
  <si>
    <t>FERIÉ</t>
  </si>
  <si>
    <t>MALADIE</t>
  </si>
  <si>
    <t>SOCIÉTÉ FERMÉE</t>
  </si>
  <si>
    <t>CONGÉS SANS SOLDE</t>
  </si>
  <si>
    <t>CONGÉS FAMILIALE</t>
  </si>
  <si>
    <t>PONT</t>
  </si>
  <si>
    <t>SOLIDARITÉ</t>
  </si>
  <si>
    <t>Colonne1</t>
  </si>
  <si>
    <t>Navaz HOUSSENALY</t>
  </si>
  <si>
    <t>SALAIRE ANNUEL SUR 13 MOIS</t>
  </si>
  <si>
    <t>TAUX HORAIRE / base 35h</t>
  </si>
  <si>
    <t>sal mensuel</t>
  </si>
  <si>
    <t>sal hebo</t>
  </si>
  <si>
    <t>(taux des heures sup en %)</t>
  </si>
  <si>
    <t>taux horaire</t>
  </si>
  <si>
    <t>salaire de reference mensuel</t>
  </si>
  <si>
    <t>salaire M sur :</t>
  </si>
  <si>
    <t>SALIRE MENSEUEL / base 35h</t>
  </si>
  <si>
    <t>Par mois en plus</t>
  </si>
  <si>
    <t>sur</t>
  </si>
  <si>
    <t>mois</t>
  </si>
  <si>
    <t>Salaire mensuel</t>
  </si>
  <si>
    <t>salaire hors x mois</t>
  </si>
  <si>
    <t>salair avec xem mois</t>
  </si>
  <si>
    <t>salaier annuel hors x mois</t>
  </si>
  <si>
    <t>salaire annuel</t>
  </si>
  <si>
    <t xml:space="preserve">base </t>
  </si>
  <si>
    <t>heures</t>
  </si>
  <si>
    <t>heures nrml hebdo</t>
  </si>
  <si>
    <t>heures sup hedbo</t>
  </si>
  <si>
    <t>salaire sur xmoi</t>
  </si>
  <si>
    <t>ÉLEMENTS DE SALAIRE</t>
  </si>
  <si>
    <t>JOUR</t>
  </si>
  <si>
    <t>Salaire  annuel</t>
  </si>
  <si>
    <t>heures sup hebd</t>
  </si>
  <si>
    <t>L'USINE à GAZ !!!!</t>
  </si>
  <si>
    <t>Prénom :</t>
  </si>
  <si>
    <t>Nom:</t>
  </si>
  <si>
    <t>Raison sociale:</t>
  </si>
  <si>
    <t>Adresse:</t>
  </si>
  <si>
    <t>ENTREPRISE UTILISATRICE</t>
  </si>
  <si>
    <t>Qualification:</t>
  </si>
  <si>
    <t>ÉLÉMENTS POUR LE CONTRAT</t>
  </si>
  <si>
    <t>Du:</t>
  </si>
  <si>
    <t xml:space="preserve">Horaire: </t>
  </si>
  <si>
    <t>Jours non travaillés:</t>
  </si>
  <si>
    <t xml:space="preserve">Heure d'arrivée: </t>
  </si>
  <si>
    <t>MOTIFS</t>
  </si>
  <si>
    <t>REMPLACEMENT</t>
  </si>
  <si>
    <t>Prénom:</t>
  </si>
  <si>
    <t>Motifs absence:</t>
  </si>
  <si>
    <t>Transport</t>
  </si>
  <si>
    <t>INTERIMAIRE DÉLÉGUÉ</t>
  </si>
  <si>
    <t>Specificité(s) client:</t>
  </si>
  <si>
    <t>Personne demandée:</t>
  </si>
  <si>
    <t>Taux P.</t>
  </si>
  <si>
    <t>TAUX HORAIRE</t>
  </si>
  <si>
    <t xml:space="preserve">Date du jour : </t>
  </si>
  <si>
    <t>Le taux horaire est de :</t>
  </si>
  <si>
    <t>Votre rémunération ne comprend pas le Xème mois</t>
  </si>
  <si>
    <t>Votre rémunération comprend  le Xème mois</t>
  </si>
  <si>
    <t>Tx F.</t>
  </si>
  <si>
    <t>Base H.</t>
  </si>
  <si>
    <t xml:space="preserve"> H.</t>
  </si>
  <si>
    <r>
      <rPr>
        <sz val="6"/>
        <color indexed="62"/>
        <rFont val="Verdana"/>
        <family val="2"/>
      </rPr>
      <t>ème</t>
    </r>
    <r>
      <rPr>
        <sz val="8"/>
        <color indexed="62"/>
        <rFont val="Verdana"/>
        <family val="2"/>
      </rPr>
      <t xml:space="preserve"> </t>
    </r>
    <r>
      <rPr>
        <sz val="9"/>
        <color indexed="62"/>
        <rFont val="Verdana"/>
        <family val="2"/>
      </rPr>
      <t>Mois</t>
    </r>
  </si>
  <si>
    <t>Coefficient:</t>
  </si>
  <si>
    <t xml:space="preserve">Nom: </t>
  </si>
  <si>
    <t>Base Hebdo.</t>
  </si>
  <si>
    <r>
      <t xml:space="preserve">Lieu de mission </t>
    </r>
    <r>
      <rPr>
        <sz val="12"/>
        <color indexed="8"/>
        <rFont val="Calibri"/>
        <family val="2"/>
      </rPr>
      <t>(si différent):</t>
    </r>
  </si>
  <si>
    <t>DIVERS : REPAS ET TRANSPORT</t>
  </si>
  <si>
    <t>Accès au restaurant d’entreprise</t>
  </si>
  <si>
    <t>Les TR sont gérés en interne</t>
  </si>
  <si>
    <t>Retenue TR (556) en nég</t>
  </si>
  <si>
    <t>Prime repas (144) x 1.9</t>
  </si>
  <si>
    <t>REPAS</t>
  </si>
  <si>
    <t xml:space="preserve"> TRANSPORT</t>
  </si>
  <si>
    <t>Tx P.</t>
  </si>
  <si>
    <r>
      <t xml:space="preserve">         Prime repas   (</t>
    </r>
    <r>
      <rPr>
        <b/>
        <sz val="11"/>
        <color indexed="8"/>
        <rFont val="Calibri"/>
        <family val="2"/>
      </rPr>
      <t>144)</t>
    </r>
  </si>
  <si>
    <t>© Tous droits reservés. Alex MOTILLA</t>
  </si>
  <si>
    <r>
      <t xml:space="preserve">         Retenue T.R  (</t>
    </r>
    <r>
      <rPr>
        <b/>
        <sz val="11"/>
        <color indexed="8"/>
        <rFont val="Calibri"/>
        <family val="2"/>
      </rPr>
      <t>556)</t>
    </r>
  </si>
  <si>
    <t>Moyens personnels</t>
  </si>
  <si>
    <t>Brut de base (hors "TEPA")</t>
  </si>
  <si>
    <t>Cplt brut (prime/absence..)</t>
  </si>
  <si>
    <t>Brut "TEPA"</t>
  </si>
  <si>
    <t>BRUT TOTAL</t>
  </si>
  <si>
    <t>Nb d'h rémunérées</t>
  </si>
  <si>
    <t>Horaire hebdo</t>
  </si>
  <si>
    <t>Horaire collectif hebdo</t>
  </si>
  <si>
    <t>Nb d'h supplément.25%</t>
  </si>
  <si>
    <t>Nb d'h supplément.50%</t>
  </si>
  <si>
    <t>Rapport cotisat./sal.brut</t>
  </si>
  <si>
    <t>Condition &lt; 21,50%</t>
  </si>
  <si>
    <t>Réduc.sal.HS</t>
  </si>
  <si>
    <t>Plafond de passage (calculé)</t>
  </si>
  <si>
    <r>
      <t>Plafond de passage (</t>
    </r>
    <r>
      <rPr>
        <sz val="9"/>
        <color indexed="10"/>
        <rFont val="Verdana"/>
        <family val="2"/>
      </rPr>
      <t>si forcé</t>
    </r>
    <r>
      <rPr>
        <sz val="9"/>
        <rFont val="Verdana"/>
        <family val="2"/>
      </rPr>
      <t>)</t>
    </r>
  </si>
  <si>
    <t>Plaf. SS</t>
  </si>
  <si>
    <t>Charnière GMP</t>
  </si>
  <si>
    <t>Smic horaire</t>
  </si>
  <si>
    <r>
      <t>Si Effectif +19 sal.(</t>
    </r>
    <r>
      <rPr>
        <sz val="9"/>
        <color indexed="10"/>
        <rFont val="Verdana"/>
        <family val="2"/>
      </rPr>
      <t>cocher la case</t>
    </r>
    <r>
      <rPr>
        <sz val="9"/>
        <rFont val="Verdana"/>
        <family val="2"/>
      </rPr>
      <t>)</t>
    </r>
  </si>
  <si>
    <r>
      <t>Si Effectif 20 sal. et + (</t>
    </r>
    <r>
      <rPr>
        <sz val="9"/>
        <color indexed="10"/>
        <rFont val="Verdana"/>
        <family val="2"/>
      </rPr>
      <t>cocher la case</t>
    </r>
    <r>
      <rPr>
        <sz val="9"/>
        <rFont val="Verdana"/>
        <family val="2"/>
      </rPr>
      <t>)</t>
    </r>
  </si>
  <si>
    <r>
      <t>Salarié Cadre (</t>
    </r>
    <r>
      <rPr>
        <sz val="9"/>
        <color indexed="10"/>
        <rFont val="Verdana"/>
        <family val="2"/>
      </rPr>
      <t>cocher si cadre</t>
    </r>
    <r>
      <rPr>
        <sz val="9"/>
        <rFont val="Verdana"/>
        <family val="2"/>
      </rPr>
      <t>)</t>
    </r>
  </si>
  <si>
    <t>Intitulé</t>
  </si>
  <si>
    <t>Base</t>
  </si>
  <si>
    <t>Taux</t>
  </si>
  <si>
    <t>Montant</t>
  </si>
  <si>
    <t>Part employeur</t>
  </si>
  <si>
    <t>Taux CS + CP</t>
  </si>
  <si>
    <t>Charges SS</t>
  </si>
  <si>
    <t>Maladie</t>
  </si>
  <si>
    <t>Contrib. autonomie</t>
  </si>
  <si>
    <t>Vieillesse TrA</t>
  </si>
  <si>
    <t>Vieillesse</t>
  </si>
  <si>
    <t>Alloc. Familiales</t>
  </si>
  <si>
    <r>
      <t xml:space="preserve">AT </t>
    </r>
    <r>
      <rPr>
        <sz val="8"/>
        <color indexed="10"/>
        <rFont val="Verdana"/>
        <family val="2"/>
      </rPr>
      <t>(taux à renseigner)</t>
    </r>
  </si>
  <si>
    <t>FNAL Tr A</t>
  </si>
  <si>
    <t>FNAL (&gt;20 salariés)</t>
  </si>
  <si>
    <r>
      <t xml:space="preserve">Transport </t>
    </r>
    <r>
      <rPr>
        <sz val="8"/>
        <color indexed="10"/>
        <rFont val="Verdana"/>
        <family val="2"/>
      </rPr>
      <t>(taux à renseigner)</t>
    </r>
  </si>
  <si>
    <t>Réduction Fillon</t>
  </si>
  <si>
    <t>Effort construction</t>
  </si>
  <si>
    <t>Réduct.de cotis.alariales</t>
  </si>
  <si>
    <t>Chomage Tr A</t>
  </si>
  <si>
    <t>Chomage Tr B</t>
  </si>
  <si>
    <t>FNGS</t>
  </si>
  <si>
    <t>Retraite</t>
  </si>
  <si>
    <t>Retraite Tr A</t>
  </si>
  <si>
    <t xml:space="preserve">Retraite Tr B </t>
  </si>
  <si>
    <t>APEC</t>
  </si>
  <si>
    <t>APEC Forfaitaire</t>
  </si>
  <si>
    <t>CET</t>
  </si>
  <si>
    <t>AGFF Tr A</t>
  </si>
  <si>
    <t>AGFF Tr B</t>
  </si>
  <si>
    <t>Prévoyance</t>
  </si>
  <si>
    <t>Prévoyance Tr A (NC)</t>
  </si>
  <si>
    <t>Prévoyance Tr A (cadres)</t>
  </si>
  <si>
    <t>Prévoyance Tr B</t>
  </si>
  <si>
    <t>Mutuelle santé</t>
  </si>
  <si>
    <t>Autres charges</t>
  </si>
  <si>
    <t>CSG non imposable</t>
  </si>
  <si>
    <t>CSG/Rds Hres sup</t>
  </si>
  <si>
    <t>Réduc.patron.Hres sup.</t>
  </si>
  <si>
    <t>Réduc.sal.Hres sup.</t>
  </si>
  <si>
    <t>Taxes et prov</t>
  </si>
  <si>
    <t>Taxe d'apprentissage</t>
  </si>
  <si>
    <t>Formation continue</t>
  </si>
  <si>
    <t>Taxe sur les salaires</t>
  </si>
  <si>
    <t>Taxe 8% patronale</t>
  </si>
  <si>
    <t>Total retenues</t>
  </si>
  <si>
    <t>Réduc.fisc.hres sup.</t>
  </si>
  <si>
    <t>Net imposable</t>
  </si>
  <si>
    <t>Divers à déduire</t>
  </si>
  <si>
    <t>CSG non déd.</t>
  </si>
  <si>
    <t>CRDS</t>
  </si>
  <si>
    <t>Titres restaurant</t>
  </si>
  <si>
    <t>Repr. Avantage en nature</t>
  </si>
  <si>
    <t>Autre</t>
  </si>
  <si>
    <t>Versement</t>
  </si>
  <si>
    <t>Ind.déplact</t>
  </si>
  <si>
    <t>Net à payer</t>
  </si>
  <si>
    <t>Montant net</t>
  </si>
  <si>
    <t>Charges patronales</t>
  </si>
  <si>
    <t>Charges sociales</t>
  </si>
  <si>
    <t>Charges fiscales</t>
  </si>
  <si>
    <t>Taux de charge employeur</t>
  </si>
  <si>
    <t>Coût employeur</t>
  </si>
  <si>
    <t>Charges salariales</t>
  </si>
  <si>
    <t>Taux de charge salarial</t>
  </si>
  <si>
    <t>Charges totales</t>
  </si>
  <si>
    <t>coeff fillon 1à19</t>
  </si>
  <si>
    <t>coeff fillon &gt;19</t>
  </si>
  <si>
    <t>MONTANT NET DE SON SALAIRE MENSUEL :</t>
  </si>
  <si>
    <t>BULLETIN DE PAIE SIMULÉ</t>
  </si>
  <si>
    <t xml:space="preserve">LA SIMULATION DE SON BULLETIN DE PAIE EST EN FEUILLE </t>
  </si>
  <si>
    <r>
      <rPr>
        <u val="singleAccounting"/>
        <sz val="18"/>
        <color indexed="30"/>
        <rFont val="Verdana"/>
        <family val="2"/>
      </rPr>
      <t>MONTANT NET DE SON SALAIRE</t>
    </r>
    <r>
      <rPr>
        <b/>
        <u val="singleAccounting"/>
        <sz val="18"/>
        <color indexed="30"/>
        <rFont val="Verdana"/>
        <family val="2"/>
      </rPr>
      <t xml:space="preserve"> MENSUEL :</t>
    </r>
  </si>
  <si>
    <t>SALAIRE BRUT</t>
  </si>
  <si>
    <t>HORS REMBOURSEMENT TRANSPORT ET RESTAURATION</t>
  </si>
  <si>
    <t xml:space="preserve">             Au:</t>
  </si>
  <si>
    <t>Faire la DPAE</t>
  </si>
  <si>
    <t>CLIQUEZ ICI</t>
  </si>
  <si>
    <t>PROVINCE  50%</t>
  </si>
  <si>
    <t>Fabienne LARUE</t>
  </si>
  <si>
    <t>De 9h à 17h00</t>
  </si>
  <si>
    <t>De 9h à 17h30</t>
  </si>
  <si>
    <t>De 9h à 18h00</t>
  </si>
  <si>
    <t>SNCF</t>
  </si>
  <si>
    <t>Julie VARACHAUD</t>
  </si>
  <si>
    <t>Tiffanie</t>
  </si>
  <si>
    <t>Aymeric RENAUT</t>
  </si>
  <si>
    <t>1 à 2           2,28€</t>
  </si>
  <si>
    <t>1 à 3           2,28€</t>
  </si>
  <si>
    <t>1 à 4           2,28€</t>
  </si>
  <si>
    <t>1 à 5           2,28€</t>
  </si>
  <si>
    <t>2 à 3           2,08€</t>
  </si>
  <si>
    <t>2 à 4           2,28€</t>
  </si>
  <si>
    <t>2 à 5          2,28€</t>
  </si>
  <si>
    <t>3 à 4           2,02€</t>
  </si>
  <si>
    <t>3 à 5           2,28€</t>
  </si>
  <si>
    <t>4 à 5           1,98€</t>
  </si>
  <si>
    <t>ACMS        2,73</t>
  </si>
  <si>
    <t>PRIME DE SAISIE</t>
  </si>
  <si>
    <r>
      <t xml:space="preserve">         Prime saisie  (</t>
    </r>
    <r>
      <rPr>
        <b/>
        <sz val="11"/>
        <color indexed="8"/>
        <rFont val="Calibri"/>
        <family val="2"/>
      </rPr>
      <t>129)</t>
    </r>
  </si>
  <si>
    <t>Assiyata SALL</t>
  </si>
  <si>
    <t xml:space="preserve">         Accès au restaurant d’entreprise (RIE)</t>
  </si>
  <si>
    <t xml:space="preserve"> Les TR sont gérés          En interne           Par TERTIALIS</t>
  </si>
  <si>
    <r>
      <t xml:space="preserve">DEMANDE DE PERSONNEL </t>
    </r>
    <r>
      <rPr>
        <sz val="8"/>
        <color indexed="9"/>
        <rFont val="Verdana"/>
        <family val="2"/>
      </rPr>
      <t>V4.1</t>
    </r>
  </si>
  <si>
    <t>Kubra Bulut</t>
  </si>
  <si>
    <t>Agathe Riesi</t>
  </si>
  <si>
    <t>Marc Delagerie</t>
  </si>
  <si>
    <t>Noémie MARTEL</t>
  </si>
  <si>
    <t>Aude MANDIANGU</t>
  </si>
  <si>
    <t>VOTRE LOGO</t>
  </si>
  <si>
    <t>LISTE DES SALARIES</t>
  </si>
  <si>
    <t>Alex</t>
  </si>
  <si>
    <t>John</t>
  </si>
  <si>
    <t>Sylvie</t>
  </si>
  <si>
    <t>Isabelle</t>
  </si>
  <si>
    <t>Éric</t>
  </si>
  <si>
    <t>Amélie</t>
  </si>
  <si>
    <t>Marc</t>
  </si>
  <si>
    <t>Joëlle</t>
  </si>
  <si>
    <t>LOGO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</si>
</sst>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mmmm"/>
    <numFmt numFmtId="168" formatCode="dd"/>
    <numFmt numFmtId="169" formatCode="dddd"/>
    <numFmt numFmtId="170" formatCode="&quot;Vrai&quot;;&quot;Vrai&quot;;&quot;Faux&quot;"/>
    <numFmt numFmtId="171" formatCode="&quot;Actif&quot;;&quot;Actif&quot;;&quot;Inactif&quot;"/>
    <numFmt numFmtId="172" formatCode="[$€-2]\ #,##0.00_);[Red]\([$€-2]\ #,##0.00\)"/>
    <numFmt numFmtId="173" formatCode="[h]:mm"/>
    <numFmt numFmtId="174" formatCode="_-* #,##0\ _€_-;\-* #,##0\ _€_-;_-* &quot;-&quot;??\ _€_-;_-@_-"/>
    <numFmt numFmtId="175" formatCode="#,##0.00\ &quot;€&quot;"/>
    <numFmt numFmtId="176" formatCode="#,##0.00_ ;\-#,##0.00\ "/>
    <numFmt numFmtId="177" formatCode="#,##0.0000_ ;\-#,##0.0000\ "/>
    <numFmt numFmtId="178" formatCode="0.000%"/>
    <numFmt numFmtId="179" formatCode="_-* #,##0.000\ &quot;€&quot;_-;\-* #,##0.000\ &quot;€&quot;_-;_-* &quot;-&quot;???\ &quot;€&quot;_-;_-@_-"/>
    <numFmt numFmtId="180" formatCode="0.0"/>
  </numFmts>
  <fonts count="150">
    <font>
      <sz val="11"/>
      <color theme="1"/>
      <name val="Calibri"/>
      <family val="2"/>
    </font>
    <font>
      <sz val="11"/>
      <color indexed="8"/>
      <name val="Calibri"/>
      <family val="2"/>
    </font>
    <font>
      <sz val="10"/>
      <color indexed="8"/>
      <name val="Verdana"/>
      <family val="2"/>
    </font>
    <font>
      <b/>
      <sz val="12"/>
      <color indexed="9"/>
      <name val="Verdana"/>
      <family val="2"/>
    </font>
    <font>
      <sz val="11"/>
      <color indexed="12"/>
      <name val="Calibri"/>
      <family val="2"/>
    </font>
    <font>
      <sz val="8"/>
      <name val="Tahoma"/>
      <family val="2"/>
    </font>
    <font>
      <sz val="8"/>
      <color indexed="8"/>
      <name val="Verdana"/>
      <family val="2"/>
    </font>
    <font>
      <sz val="10"/>
      <name val="Arial"/>
      <family val="2"/>
    </font>
    <font>
      <b/>
      <sz val="12"/>
      <name val="Arial"/>
      <family val="2"/>
    </font>
    <font>
      <sz val="12"/>
      <name val="Arial"/>
      <family val="2"/>
    </font>
    <font>
      <b/>
      <sz val="10"/>
      <color indexed="8"/>
      <name val="Verdana"/>
      <family val="2"/>
    </font>
    <font>
      <b/>
      <sz val="10"/>
      <name val="Arial"/>
      <family val="2"/>
    </font>
    <font>
      <sz val="8"/>
      <name val="Arial"/>
      <family val="2"/>
    </font>
    <font>
      <sz val="9"/>
      <name val="Arial"/>
      <family val="2"/>
    </font>
    <font>
      <sz val="11"/>
      <color indexed="8"/>
      <name val="Verdana"/>
      <family val="2"/>
    </font>
    <font>
      <b/>
      <sz val="9"/>
      <color indexed="8"/>
      <name val="Verdana"/>
      <family val="2"/>
    </font>
    <font>
      <b/>
      <sz val="8"/>
      <color indexed="8"/>
      <name val="Verdana"/>
      <family val="2"/>
    </font>
    <font>
      <sz val="9"/>
      <color indexed="8"/>
      <name val="Verdana"/>
      <family val="2"/>
    </font>
    <font>
      <sz val="8"/>
      <color indexed="62"/>
      <name val="Verdana"/>
      <family val="2"/>
    </font>
    <font>
      <sz val="6"/>
      <color indexed="62"/>
      <name val="Verdana"/>
      <family val="2"/>
    </font>
    <font>
      <sz val="9"/>
      <color indexed="62"/>
      <name val="Verdana"/>
      <family val="2"/>
    </font>
    <font>
      <sz val="12"/>
      <color indexed="8"/>
      <name val="Calibri"/>
      <family val="2"/>
    </font>
    <font>
      <b/>
      <sz val="11"/>
      <color indexed="8"/>
      <name val="Calibri"/>
      <family val="2"/>
    </font>
    <font>
      <sz val="9"/>
      <name val="Verdana"/>
      <family val="2"/>
    </font>
    <font>
      <b/>
      <sz val="9"/>
      <color indexed="10"/>
      <name val="Verdana"/>
      <family val="2"/>
    </font>
    <font>
      <sz val="9"/>
      <color indexed="12"/>
      <name val="Verdana"/>
      <family val="2"/>
    </font>
    <font>
      <sz val="9"/>
      <color indexed="14"/>
      <name val="Verdana"/>
      <family val="2"/>
    </font>
    <font>
      <sz val="9"/>
      <color indexed="10"/>
      <name val="Verdana"/>
      <family val="2"/>
    </font>
    <font>
      <sz val="9"/>
      <color indexed="26"/>
      <name val="Verdana"/>
      <family val="2"/>
    </font>
    <font>
      <b/>
      <sz val="9"/>
      <name val="Verdana"/>
      <family val="2"/>
    </font>
    <font>
      <sz val="9"/>
      <color indexed="9"/>
      <name val="Verdana"/>
      <family val="2"/>
    </font>
    <font>
      <b/>
      <i/>
      <sz val="9"/>
      <name val="Verdana"/>
      <family val="2"/>
    </font>
    <font>
      <sz val="8"/>
      <color indexed="10"/>
      <name val="Verdana"/>
      <family val="2"/>
    </font>
    <font>
      <b/>
      <sz val="8"/>
      <name val="Tahoma"/>
      <family val="2"/>
    </font>
    <font>
      <sz val="8"/>
      <name val="Verdana"/>
      <family val="2"/>
    </font>
    <font>
      <b/>
      <sz val="15"/>
      <color indexed="10"/>
      <name val="Verdana"/>
      <family val="2"/>
    </font>
    <font>
      <i/>
      <sz val="9"/>
      <name val="Verdana"/>
      <family val="2"/>
    </font>
    <font>
      <b/>
      <sz val="8"/>
      <color indexed="10"/>
      <name val="Tahoma"/>
      <family val="2"/>
    </font>
    <font>
      <b/>
      <sz val="28"/>
      <name val="Verdana"/>
      <family val="2"/>
    </font>
    <font>
      <b/>
      <sz val="14"/>
      <name val="Verdana"/>
      <family val="2"/>
    </font>
    <font>
      <sz val="20"/>
      <name val="Verdana"/>
      <family val="2"/>
    </font>
    <font>
      <b/>
      <u val="singleAccounting"/>
      <sz val="18"/>
      <color indexed="30"/>
      <name val="Verdana"/>
      <family val="2"/>
    </font>
    <font>
      <sz val="8"/>
      <color indexed="9"/>
      <name val="Verdana"/>
      <family val="2"/>
    </font>
    <font>
      <u val="singleAccounting"/>
      <sz val="18"/>
      <color indexed="30"/>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8"/>
      <color indexed="8"/>
      <name val="Calibri"/>
      <family val="2"/>
    </font>
    <font>
      <sz val="5"/>
      <color indexed="8"/>
      <name val="Calibri"/>
      <family val="2"/>
    </font>
    <font>
      <b/>
      <sz val="10"/>
      <color indexed="10"/>
      <name val="Arial"/>
      <family val="2"/>
    </font>
    <font>
      <sz val="10"/>
      <color indexed="8"/>
      <name val="Arial"/>
      <family val="2"/>
    </font>
    <font>
      <b/>
      <sz val="12"/>
      <color indexed="8"/>
      <name val="Calibri"/>
      <family val="2"/>
    </font>
    <font>
      <b/>
      <sz val="10"/>
      <color indexed="56"/>
      <name val="Verdana"/>
      <family val="2"/>
    </font>
    <font>
      <b/>
      <sz val="14"/>
      <color indexed="8"/>
      <name val="Calibri"/>
      <family val="2"/>
    </font>
    <font>
      <b/>
      <sz val="10"/>
      <color indexed="8"/>
      <name val="Calibri"/>
      <family val="2"/>
    </font>
    <font>
      <sz val="9"/>
      <color indexed="8"/>
      <name val="Calibri"/>
      <family val="2"/>
    </font>
    <font>
      <b/>
      <sz val="11"/>
      <color indexed="56"/>
      <name val="Verdana"/>
      <family val="2"/>
    </font>
    <font>
      <sz val="11"/>
      <color indexed="56"/>
      <name val="Verdana"/>
      <family val="2"/>
    </font>
    <font>
      <b/>
      <sz val="8"/>
      <color indexed="8"/>
      <name val="Calibri"/>
      <family val="2"/>
    </font>
    <font>
      <b/>
      <sz val="10"/>
      <color indexed="62"/>
      <name val="Verdana"/>
      <family val="2"/>
    </font>
    <font>
      <sz val="10"/>
      <color indexed="62"/>
      <name val="Verdana"/>
      <family val="2"/>
    </font>
    <font>
      <sz val="10"/>
      <color indexed="8"/>
      <name val="Calibri"/>
      <family val="2"/>
    </font>
    <font>
      <b/>
      <sz val="9"/>
      <color indexed="30"/>
      <name val="Verdana"/>
      <family val="2"/>
    </font>
    <font>
      <b/>
      <sz val="12"/>
      <color indexed="10"/>
      <name val="Verdana"/>
      <family val="2"/>
    </font>
    <font>
      <b/>
      <sz val="8"/>
      <color indexed="10"/>
      <name val="Verdana"/>
      <family val="2"/>
    </font>
    <font>
      <b/>
      <sz val="14"/>
      <color indexed="8"/>
      <name val="Verdana"/>
      <family val="2"/>
    </font>
    <font>
      <sz val="20"/>
      <color indexed="8"/>
      <name val="Calibri"/>
      <family val="2"/>
    </font>
    <font>
      <sz val="16"/>
      <color indexed="8"/>
      <name val="Calibri"/>
      <family val="2"/>
    </font>
    <font>
      <b/>
      <sz val="16"/>
      <color indexed="8"/>
      <name val="Calibri"/>
      <family val="2"/>
    </font>
    <font>
      <sz val="10"/>
      <color indexed="30"/>
      <name val="Verdana"/>
      <family val="2"/>
    </font>
    <font>
      <b/>
      <sz val="28"/>
      <color indexed="8"/>
      <name val="Verdana"/>
      <family val="2"/>
    </font>
    <font>
      <b/>
      <sz val="14"/>
      <color indexed="9"/>
      <name val="Verdana"/>
      <family val="2"/>
    </font>
    <font>
      <sz val="20"/>
      <color indexed="8"/>
      <name val="Verdana"/>
      <family val="2"/>
    </font>
    <font>
      <b/>
      <sz val="11"/>
      <color indexed="30"/>
      <name val="Verdana"/>
      <family val="2"/>
    </font>
    <font>
      <b/>
      <sz val="20"/>
      <color indexed="8"/>
      <name val="Verdana"/>
      <family val="2"/>
    </font>
    <font>
      <b/>
      <sz val="26"/>
      <color indexed="8"/>
      <name val="Verdana"/>
      <family val="2"/>
    </font>
    <font>
      <b/>
      <sz val="18"/>
      <color indexed="62"/>
      <name val="Calibri"/>
      <family val="2"/>
    </font>
    <font>
      <sz val="8"/>
      <name val="Segoe UI"/>
      <family val="2"/>
    </font>
    <font>
      <b/>
      <sz val="12"/>
      <color indexed="22"/>
      <name val="Verdana"/>
      <family val="2"/>
    </font>
    <font>
      <b/>
      <sz val="36"/>
      <color indexed="23"/>
      <name val="Calibri"/>
      <family val="2"/>
    </font>
    <font>
      <b/>
      <u val="single"/>
      <sz val="11"/>
      <color indexed="8"/>
      <name val="Calibri"/>
      <family val="2"/>
    </font>
    <font>
      <b/>
      <sz val="24"/>
      <color indexed="10"/>
      <name val="Calibri"/>
      <family val="2"/>
    </font>
    <font>
      <b/>
      <sz val="11"/>
      <color indexed="22"/>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5"/>
      <color theme="1"/>
      <name val="Calibri"/>
      <family val="2"/>
    </font>
    <font>
      <b/>
      <sz val="10"/>
      <color rgb="FFFF0000"/>
      <name val="Arial"/>
      <family val="2"/>
    </font>
    <font>
      <sz val="10"/>
      <color theme="1"/>
      <name val="Arial"/>
      <family val="2"/>
    </font>
    <font>
      <b/>
      <sz val="12"/>
      <color rgb="FF000000"/>
      <name val="Calibri"/>
      <family val="2"/>
    </font>
    <font>
      <b/>
      <sz val="10"/>
      <color theme="3"/>
      <name val="Verdana"/>
      <family val="2"/>
    </font>
    <font>
      <sz val="10"/>
      <color theme="1"/>
      <name val="Verdana"/>
      <family val="2"/>
    </font>
    <font>
      <b/>
      <sz val="12"/>
      <color theme="1"/>
      <name val="Calibri"/>
      <family val="2"/>
    </font>
    <font>
      <b/>
      <sz val="10"/>
      <color theme="1"/>
      <name val="Calibri"/>
      <family val="2"/>
    </font>
    <font>
      <sz val="9"/>
      <color theme="1"/>
      <name val="Calibri"/>
      <family val="2"/>
    </font>
    <font>
      <b/>
      <sz val="11"/>
      <color theme="3"/>
      <name val="Verdana"/>
      <family val="2"/>
    </font>
    <font>
      <sz val="11"/>
      <color theme="3"/>
      <name val="Verdana"/>
      <family val="2"/>
    </font>
    <font>
      <b/>
      <sz val="10"/>
      <color theme="4"/>
      <name val="Verdana"/>
      <family val="2"/>
    </font>
    <font>
      <sz val="10"/>
      <color theme="4"/>
      <name val="Verdana"/>
      <family val="2"/>
    </font>
    <font>
      <sz val="8"/>
      <color theme="4"/>
      <name val="Verdana"/>
      <family val="2"/>
    </font>
    <font>
      <b/>
      <sz val="9"/>
      <color theme="5"/>
      <name val="Verdana"/>
      <family val="2"/>
    </font>
    <font>
      <b/>
      <sz val="9"/>
      <color rgb="FF0070C0"/>
      <name val="Verdana"/>
      <family val="2"/>
    </font>
    <font>
      <b/>
      <sz val="12"/>
      <color theme="5"/>
      <name val="Verdana"/>
      <family val="2"/>
    </font>
    <font>
      <b/>
      <sz val="8"/>
      <color theme="5"/>
      <name val="Verdana"/>
      <family val="2"/>
    </font>
    <font>
      <sz val="9"/>
      <color theme="5"/>
      <name val="Verdana"/>
      <family val="2"/>
    </font>
    <font>
      <b/>
      <sz val="9"/>
      <color rgb="FFFF0000"/>
      <name val="Verdana"/>
      <family val="2"/>
    </font>
    <font>
      <b/>
      <sz val="14"/>
      <color theme="1"/>
      <name val="Verdana"/>
      <family val="2"/>
    </font>
    <font>
      <sz val="20"/>
      <color theme="1"/>
      <name val="Calibri"/>
      <family val="2"/>
    </font>
    <font>
      <sz val="10"/>
      <color rgb="FF0070C0"/>
      <name val="Verdana"/>
      <family val="2"/>
    </font>
    <font>
      <sz val="20"/>
      <color theme="1"/>
      <name val="Verdana"/>
      <family val="2"/>
    </font>
    <font>
      <b/>
      <u val="singleAccounting"/>
      <sz val="18"/>
      <color rgb="FF0070C0"/>
      <name val="Verdana"/>
      <family val="2"/>
    </font>
    <font>
      <b/>
      <sz val="28"/>
      <color theme="1"/>
      <name val="Verdana"/>
      <family val="2"/>
    </font>
    <font>
      <b/>
      <sz val="14"/>
      <color theme="0"/>
      <name val="Verdana"/>
      <family val="2"/>
    </font>
    <font>
      <b/>
      <sz val="11"/>
      <color rgb="FF0070C0"/>
      <name val="Verdana"/>
      <family val="2"/>
    </font>
    <font>
      <b/>
      <sz val="20"/>
      <color theme="1"/>
      <name val="Verdana"/>
      <family val="2"/>
    </font>
    <font>
      <b/>
      <sz val="26"/>
      <color theme="1"/>
      <name val="Verdana"/>
      <family val="2"/>
    </font>
    <font>
      <b/>
      <sz val="18"/>
      <color theme="4"/>
      <name val="Calibri"/>
      <family val="2"/>
    </font>
    <font>
      <b/>
      <sz val="12"/>
      <color theme="0" tint="-0.1499900072813034"/>
      <name val="Verdana"/>
      <family val="2"/>
    </font>
    <font>
      <b/>
      <sz val="11"/>
      <color theme="0" tint="-0.1499900072813034"/>
      <name val="Verdana"/>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EDF6F9"/>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8"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color theme="2" tint="-0.09996999800205231"/>
      </left>
      <right style="medium">
        <color theme="2" tint="-0.09996999800205231"/>
      </right>
      <top style="medium">
        <color theme="2" tint="-0.09996999800205231"/>
      </top>
      <bottom style="medium">
        <color theme="2" tint="-0.09996999800205231"/>
      </bottom>
    </border>
    <border>
      <left style="thin">
        <color theme="2" tint="-0.09996999800205231"/>
      </left>
      <right style="thin">
        <color theme="2" tint="-0.09996999800205231"/>
      </right>
      <top style="thin">
        <color theme="2" tint="-0.09996999800205231"/>
      </top>
      <bottom style="thin">
        <color theme="2" tint="-0.09996999800205231"/>
      </bottom>
    </border>
    <border>
      <left style="thin">
        <color theme="2" tint="-0.09996999800205231"/>
      </left>
      <right style="thin">
        <color theme="2" tint="-0.09996999800205231"/>
      </right>
      <top>
        <color indexed="63"/>
      </top>
      <bottom style="thin">
        <color theme="2" tint="-0.09996999800205231"/>
      </bottom>
    </border>
    <border>
      <left style="thin">
        <color theme="2" tint="-0.09996999800205231"/>
      </left>
      <right>
        <color indexed="63"/>
      </right>
      <top style="thin">
        <color theme="2" tint="-0.09996999800205231"/>
      </top>
      <bottom style="thin">
        <color theme="2" tint="-0.09996999800205231"/>
      </bottom>
    </border>
    <border>
      <left style="thin">
        <color theme="2" tint="-0.09996999800205231"/>
      </left>
      <right style="thin">
        <color theme="2" tint="-0.09996999800205231"/>
      </right>
      <top style="medium">
        <color theme="2" tint="-0.09996999800205231"/>
      </top>
      <bottom style="thin">
        <color theme="2" tint="-0.09996999800205231"/>
      </bottom>
    </border>
    <border>
      <left style="thin">
        <color theme="2" tint="-0.09996999800205231"/>
      </left>
      <right>
        <color indexed="63"/>
      </right>
      <top>
        <color indexed="63"/>
      </top>
      <bottom>
        <color indexed="63"/>
      </bottom>
    </border>
    <border>
      <left>
        <color indexed="63"/>
      </left>
      <right style="thin">
        <color theme="2" tint="-0.09996999800205231"/>
      </right>
      <top style="thin">
        <color theme="2" tint="-0.09996999800205231"/>
      </top>
      <bottom style="thin">
        <color theme="2" tint="-0.09996999800205231"/>
      </bottom>
    </border>
    <border>
      <left style="medium">
        <color theme="2"/>
      </left>
      <right style="medium">
        <color theme="2"/>
      </right>
      <top style="medium">
        <color theme="2"/>
      </top>
      <bottom style="medium">
        <color theme="2"/>
      </bottom>
    </border>
    <border>
      <left style="dotted"/>
      <right style="dotted"/>
      <top/>
      <bottom/>
    </border>
    <border>
      <left/>
      <right style="hair"/>
      <top/>
      <bottom/>
    </border>
    <border>
      <left style="dotted"/>
      <right style="dotted"/>
      <top/>
      <bottom style="hair"/>
    </border>
    <border>
      <left style="hair"/>
      <right style="dotted"/>
      <top style="hair"/>
      <bottom style="hair"/>
    </border>
    <border>
      <left style="dotted"/>
      <right style="dotted"/>
      <top style="hair"/>
      <bottom style="hair"/>
    </border>
    <border>
      <left style="hair"/>
      <right style="dotted"/>
      <top/>
      <bottom/>
    </border>
    <border>
      <left style="medium"/>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style="medium"/>
      <top/>
      <bottom style="medium"/>
    </border>
    <border>
      <left style="hair"/>
      <right style="hair"/>
      <top/>
      <bottom/>
    </border>
    <border>
      <left style="hair"/>
      <right style="dotted"/>
      <top/>
      <bottom style="hair"/>
    </border>
    <border>
      <left style="hair"/>
      <right style="hair"/>
      <top/>
      <bottom style="hair"/>
    </border>
    <border>
      <left style="hair"/>
      <right/>
      <top style="hair"/>
      <bottom/>
    </border>
    <border>
      <left/>
      <right/>
      <top style="hair"/>
      <bottom/>
    </border>
    <border>
      <left/>
      <right style="hair"/>
      <top style="hair"/>
      <bottom/>
    </border>
    <border>
      <left style="hair"/>
      <right/>
      <top/>
      <bottom/>
    </border>
    <border>
      <left style="hair"/>
      <right/>
      <top/>
      <bottom style="hair"/>
    </border>
    <border>
      <left/>
      <right/>
      <top/>
      <bottom style="hair"/>
    </border>
    <border>
      <left/>
      <right style="hair"/>
      <top/>
      <bottom style="hair"/>
    </border>
    <border>
      <left style="hair"/>
      <right style="hair"/>
      <top style="hair"/>
      <bottom style="hair"/>
    </border>
    <border>
      <left style="thin"/>
      <right style="medium"/>
      <top style="thin"/>
      <bottom style="thin"/>
    </border>
    <border>
      <left style="medium">
        <color theme="2"/>
      </left>
      <right>
        <color indexed="63"/>
      </right>
      <top style="medium">
        <color theme="2"/>
      </top>
      <bottom style="medium">
        <color theme="2"/>
      </bottom>
    </border>
    <border>
      <left>
        <color indexed="63"/>
      </left>
      <right>
        <color indexed="63"/>
      </right>
      <top style="medium">
        <color theme="2"/>
      </top>
      <bottom style="medium">
        <color theme="2"/>
      </bottom>
    </border>
    <border>
      <left>
        <color indexed="63"/>
      </left>
      <right style="medium">
        <color theme="2"/>
      </right>
      <top style="medium">
        <color theme="2"/>
      </top>
      <bottom style="medium">
        <color theme="2"/>
      </bottom>
    </border>
    <border>
      <left>
        <color indexed="63"/>
      </left>
      <right style="medium">
        <color theme="2"/>
      </right>
      <top>
        <color indexed="63"/>
      </top>
      <bottom>
        <color indexed="63"/>
      </bottom>
    </border>
    <border>
      <left>
        <color indexed="63"/>
      </left>
      <right>
        <color indexed="63"/>
      </right>
      <top style="thin">
        <color theme="2" tint="-0.09996999800205231"/>
      </top>
      <bottom style="thin">
        <color theme="2" tint="-0.09996999800205231"/>
      </bottom>
    </border>
    <border>
      <left>
        <color indexed="63"/>
      </left>
      <right>
        <color indexed="63"/>
      </right>
      <top style="medium"/>
      <bottom>
        <color indexed="63"/>
      </bottom>
    </border>
    <border>
      <left>
        <color indexed="63"/>
      </left>
      <right>
        <color indexed="63"/>
      </right>
      <top>
        <color indexed="63"/>
      </top>
      <bottom style="medium"/>
    </border>
    <border>
      <left style="dotted"/>
      <right/>
      <top style="hair"/>
      <bottom style="hair"/>
    </border>
    <border>
      <left/>
      <right style="hair"/>
      <top style="hair"/>
      <bottom style="hair"/>
    </border>
    <border>
      <left/>
      <right style="medium"/>
      <top style="hair"/>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0" borderId="2" applyNumberFormat="0" applyFill="0" applyAlignment="0" applyProtection="0"/>
    <xf numFmtId="0" fontId="101" fillId="27" borderId="1" applyNumberFormat="0" applyAlignment="0" applyProtection="0"/>
    <xf numFmtId="0" fontId="102" fillId="28" borderId="0" applyNumberFormat="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5"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106" fillId="31" borderId="0" applyNumberFormat="0" applyBorder="0" applyAlignment="0" applyProtection="0"/>
    <xf numFmtId="0" fontId="107" fillId="26" borderId="4"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2" borderId="9" applyNumberFormat="0" applyAlignment="0" applyProtection="0"/>
  </cellStyleXfs>
  <cellXfs count="368">
    <xf numFmtId="0" fontId="0" fillId="0" borderId="0" xfId="0" applyFont="1" applyAlignment="1">
      <alignment/>
    </xf>
    <xf numFmtId="0" fontId="2" fillId="0" borderId="0" xfId="0" applyFont="1" applyAlignment="1">
      <alignment/>
    </xf>
    <xf numFmtId="0" fontId="113" fillId="0" borderId="10" xfId="0" applyFont="1" applyFill="1" applyBorder="1" applyAlignment="1">
      <alignment horizontal="center"/>
    </xf>
    <xf numFmtId="0" fontId="0" fillId="0" borderId="10" xfId="0" applyFont="1" applyFill="1" applyBorder="1" applyAlignment="1">
      <alignment/>
    </xf>
    <xf numFmtId="0" fontId="115" fillId="0" borderId="0" xfId="0" applyFont="1" applyFill="1" applyAlignment="1">
      <alignment/>
    </xf>
    <xf numFmtId="0" fontId="116" fillId="0" borderId="10" xfId="0" applyFont="1" applyFill="1" applyBorder="1" applyAlignment="1">
      <alignment horizontal="center"/>
    </xf>
    <xf numFmtId="0" fontId="116" fillId="0" borderId="0" xfId="0" applyFont="1" applyAlignment="1">
      <alignment/>
    </xf>
    <xf numFmtId="0" fontId="2" fillId="0" borderId="0" xfId="0" applyFont="1" applyAlignment="1">
      <alignment horizontal="center"/>
    </xf>
    <xf numFmtId="0" fontId="0" fillId="0" borderId="11" xfId="0" applyFont="1" applyFill="1" applyBorder="1" applyAlignment="1">
      <alignment/>
    </xf>
    <xf numFmtId="0" fontId="4" fillId="0" borderId="0" xfId="44" applyFont="1" applyBorder="1" applyAlignment="1" applyProtection="1">
      <alignment/>
      <protection/>
    </xf>
    <xf numFmtId="0" fontId="0" fillId="0" borderId="0" xfId="0" applyAlignment="1">
      <alignment vertical="center"/>
    </xf>
    <xf numFmtId="174" fontId="8" fillId="33" borderId="12" xfId="46" applyNumberFormat="1" applyFont="1" applyFill="1" applyBorder="1" applyAlignment="1">
      <alignment vertical="center"/>
    </xf>
    <xf numFmtId="174" fontId="9" fillId="0" borderId="0" xfId="46" applyNumberFormat="1" applyFont="1" applyAlignment="1">
      <alignment vertical="center"/>
    </xf>
    <xf numFmtId="2" fontId="9"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34" borderId="0" xfId="0" applyFill="1" applyAlignment="1">
      <alignment horizontal="center" vertical="center"/>
    </xf>
    <xf numFmtId="165" fontId="11" fillId="0" borderId="0" xfId="46" applyNumberFormat="1" applyFont="1" applyAlignment="1">
      <alignment vertical="center"/>
    </xf>
    <xf numFmtId="174" fontId="9" fillId="33" borderId="12" xfId="46" applyNumberFormat="1" applyFont="1" applyFill="1" applyBorder="1" applyAlignment="1">
      <alignment vertical="center"/>
    </xf>
    <xf numFmtId="0" fontId="0" fillId="35" borderId="0" xfId="0" applyFill="1" applyAlignment="1">
      <alignment horizontal="center" vertical="center"/>
    </xf>
    <xf numFmtId="0" fontId="2" fillId="35" borderId="0" xfId="0" applyFont="1" applyFill="1" applyBorder="1" applyAlignment="1">
      <alignment horizontal="center" vertical="center"/>
    </xf>
    <xf numFmtId="0" fontId="10" fillId="35" borderId="0" xfId="0" applyFont="1" applyFill="1" applyBorder="1" applyAlignment="1">
      <alignment/>
    </xf>
    <xf numFmtId="0" fontId="2" fillId="35" borderId="0" xfId="0" applyFont="1" applyFill="1" applyBorder="1" applyAlignment="1">
      <alignment/>
    </xf>
    <xf numFmtId="0" fontId="2" fillId="35" borderId="0" xfId="0" applyFont="1" applyFill="1" applyBorder="1" applyAlignment="1">
      <alignment horizontal="left" vertical="center"/>
    </xf>
    <xf numFmtId="0" fontId="12" fillId="0" borderId="0" xfId="0" applyFont="1" applyAlignment="1">
      <alignment vertical="center"/>
    </xf>
    <xf numFmtId="0" fontId="7" fillId="0" borderId="0" xfId="0" applyFont="1" applyAlignment="1">
      <alignment horizontal="right" vertical="center"/>
    </xf>
    <xf numFmtId="0" fontId="7" fillId="36" borderId="12" xfId="0" applyFont="1" applyFill="1" applyBorder="1" applyAlignment="1">
      <alignment vertical="center"/>
    </xf>
    <xf numFmtId="0" fontId="13" fillId="0" borderId="0" xfId="0" applyFont="1" applyAlignment="1">
      <alignment vertical="center"/>
    </xf>
    <xf numFmtId="2" fontId="0" fillId="0" borderId="0" xfId="0" applyNumberFormat="1" applyAlignment="1">
      <alignment vertical="center"/>
    </xf>
    <xf numFmtId="0" fontId="6" fillId="35" borderId="0" xfId="0" applyFont="1" applyFill="1" applyBorder="1" applyAlignment="1">
      <alignment horizontal="left" vertical="center"/>
    </xf>
    <xf numFmtId="0" fontId="6" fillId="35" borderId="0" xfId="0" applyFont="1" applyFill="1" applyBorder="1" applyAlignment="1">
      <alignment/>
    </xf>
    <xf numFmtId="0" fontId="10" fillId="35" borderId="0" xfId="0" applyFont="1" applyFill="1" applyBorder="1" applyAlignment="1">
      <alignment horizontal="center" vertical="center"/>
    </xf>
    <xf numFmtId="0" fontId="10" fillId="35" borderId="0" xfId="0" applyFont="1" applyFill="1" applyBorder="1" applyAlignment="1">
      <alignment horizontal="center"/>
    </xf>
    <xf numFmtId="0" fontId="10" fillId="35" borderId="0" xfId="0" applyFont="1" applyFill="1" applyBorder="1" applyAlignment="1">
      <alignment horizontal="right"/>
    </xf>
    <xf numFmtId="0" fontId="7" fillId="0" borderId="0" xfId="0" applyFont="1" applyAlignment="1">
      <alignment/>
    </xf>
    <xf numFmtId="0" fontId="0" fillId="36" borderId="13" xfId="0" applyFill="1" applyBorder="1" applyAlignment="1">
      <alignment/>
    </xf>
    <xf numFmtId="0" fontId="98" fillId="0" borderId="0" xfId="0" applyFont="1" applyAlignment="1">
      <alignment/>
    </xf>
    <xf numFmtId="0" fontId="117" fillId="0" borderId="0" xfId="0" applyFont="1" applyAlignment="1">
      <alignment/>
    </xf>
    <xf numFmtId="0" fontId="0" fillId="36" borderId="0" xfId="0" applyFill="1" applyAlignment="1">
      <alignment/>
    </xf>
    <xf numFmtId="0" fontId="118" fillId="36" borderId="0" xfId="0" applyFont="1" applyFill="1" applyAlignment="1">
      <alignment/>
    </xf>
    <xf numFmtId="0" fontId="7" fillId="36" borderId="0" xfId="0" applyFont="1" applyFill="1" applyAlignment="1">
      <alignment/>
    </xf>
    <xf numFmtId="0" fontId="9" fillId="0" borderId="0" xfId="0" applyFont="1" applyAlignment="1">
      <alignment horizontal="right" vertical="center"/>
    </xf>
    <xf numFmtId="0" fontId="0" fillId="36" borderId="0" xfId="0" applyFill="1" applyAlignment="1">
      <alignment vertical="center"/>
    </xf>
    <xf numFmtId="165" fontId="0" fillId="0" borderId="0" xfId="46" applyNumberFormat="1" applyFont="1" applyAlignment="1">
      <alignment vertical="center"/>
    </xf>
    <xf numFmtId="174" fontId="0" fillId="0" borderId="0" xfId="46" applyNumberFormat="1" applyFont="1" applyAlignment="1">
      <alignment vertical="center"/>
    </xf>
    <xf numFmtId="174" fontId="0" fillId="0" borderId="0" xfId="0" applyNumberFormat="1" applyAlignment="1">
      <alignment/>
    </xf>
    <xf numFmtId="0" fontId="119" fillId="0" borderId="0" xfId="0" applyFont="1" applyAlignment="1">
      <alignment/>
    </xf>
    <xf numFmtId="0" fontId="120" fillId="35" borderId="0" xfId="0" applyFont="1" applyFill="1" applyBorder="1" applyAlignment="1">
      <alignment horizontal="right"/>
    </xf>
    <xf numFmtId="0" fontId="2" fillId="0" borderId="0" xfId="0" applyFont="1" applyBorder="1" applyAlignment="1">
      <alignment/>
    </xf>
    <xf numFmtId="16" fontId="0" fillId="0" borderId="0" xfId="0" applyNumberFormat="1" applyAlignment="1">
      <alignment/>
    </xf>
    <xf numFmtId="0" fontId="113" fillId="0" borderId="0" xfId="0" applyFont="1" applyAlignment="1">
      <alignment/>
    </xf>
    <xf numFmtId="0" fontId="113" fillId="0" borderId="0" xfId="0" applyFont="1" applyAlignment="1">
      <alignment horizontal="right"/>
    </xf>
    <xf numFmtId="175" fontId="0" fillId="0" borderId="0" xfId="0" applyNumberFormat="1" applyAlignment="1">
      <alignment/>
    </xf>
    <xf numFmtId="0" fontId="0" fillId="0" borderId="0" xfId="0" applyBorder="1" applyAlignment="1">
      <alignment/>
    </xf>
    <xf numFmtId="174" fontId="0" fillId="36" borderId="0" xfId="0" applyNumberFormat="1" applyFill="1" applyAlignment="1">
      <alignment/>
    </xf>
    <xf numFmtId="0" fontId="0" fillId="6" borderId="12" xfId="0" applyFill="1" applyBorder="1" applyAlignment="1">
      <alignment/>
    </xf>
    <xf numFmtId="0" fontId="2" fillId="0" borderId="0" xfId="0" applyFont="1" applyBorder="1" applyAlignment="1">
      <alignment horizontal="center"/>
    </xf>
    <xf numFmtId="0" fontId="2" fillId="0" borderId="0" xfId="0" applyFont="1" applyAlignment="1">
      <alignment horizontal="left"/>
    </xf>
    <xf numFmtId="0" fontId="67" fillId="0" borderId="0" xfId="0" applyFont="1" applyAlignment="1">
      <alignment horizontal="center"/>
    </xf>
    <xf numFmtId="0" fontId="22" fillId="0" borderId="0" xfId="0" applyFont="1" applyAlignment="1">
      <alignment horizontal="center"/>
    </xf>
    <xf numFmtId="0" fontId="0" fillId="0" borderId="0" xfId="44" applyFont="1" applyBorder="1" applyAlignment="1" applyProtection="1">
      <alignment/>
      <protection/>
    </xf>
    <xf numFmtId="0" fontId="113" fillId="0" borderId="0" xfId="44" applyFont="1" applyBorder="1" applyAlignment="1" applyProtection="1">
      <alignment/>
      <protection/>
    </xf>
    <xf numFmtId="0" fontId="113" fillId="0" borderId="0" xfId="44" applyFont="1" applyBorder="1" applyAlignment="1" applyProtection="1">
      <alignment vertical="center"/>
      <protection/>
    </xf>
    <xf numFmtId="0" fontId="121" fillId="0" borderId="0" xfId="0" applyFont="1" applyAlignment="1">
      <alignment/>
    </xf>
    <xf numFmtId="0" fontId="122" fillId="0" borderId="0" xfId="0" applyFont="1" applyAlignment="1">
      <alignment/>
    </xf>
    <xf numFmtId="0" fontId="113" fillId="0" borderId="0" xfId="44" applyFont="1" applyBorder="1" applyAlignment="1" applyProtection="1">
      <alignment horizontal="left"/>
      <protection/>
    </xf>
    <xf numFmtId="0" fontId="123" fillId="0" borderId="0" xfId="44" applyFont="1" applyBorder="1" applyAlignment="1" applyProtection="1">
      <alignment/>
      <protection/>
    </xf>
    <xf numFmtId="0" fontId="113" fillId="0" borderId="0" xfId="0" applyFont="1" applyAlignment="1">
      <alignment/>
    </xf>
    <xf numFmtId="0" fontId="124" fillId="0" borderId="0" xfId="44" applyFont="1" applyBorder="1" applyAlignment="1" applyProtection="1">
      <alignment/>
      <protection/>
    </xf>
    <xf numFmtId="0" fontId="1" fillId="0" borderId="0" xfId="0" applyFont="1" applyAlignment="1">
      <alignment/>
    </xf>
    <xf numFmtId="0" fontId="112" fillId="35" borderId="0" xfId="0" applyFont="1" applyFill="1" applyBorder="1" applyAlignment="1">
      <alignment/>
    </xf>
    <xf numFmtId="0" fontId="125" fillId="35" borderId="0" xfId="0" applyFont="1" applyFill="1" applyBorder="1" applyAlignment="1">
      <alignment/>
    </xf>
    <xf numFmtId="0" fontId="125" fillId="35" borderId="0" xfId="0" applyFont="1" applyFill="1" applyBorder="1" applyAlignment="1">
      <alignment horizontal="center" vertical="center"/>
    </xf>
    <xf numFmtId="0" fontId="125" fillId="35" borderId="0" xfId="0" applyFont="1" applyFill="1" applyBorder="1" applyAlignment="1">
      <alignment horizontal="center"/>
    </xf>
    <xf numFmtId="0" fontId="112" fillId="0" borderId="0" xfId="0" applyFont="1" applyAlignment="1">
      <alignment/>
    </xf>
    <xf numFmtId="0" fontId="126" fillId="0" borderId="0" xfId="0" applyFont="1" applyAlignment="1">
      <alignment/>
    </xf>
    <xf numFmtId="0" fontId="14" fillId="0" borderId="0" xfId="0" applyFont="1" applyAlignment="1">
      <alignment/>
    </xf>
    <xf numFmtId="0" fontId="1" fillId="0" borderId="0" xfId="0" applyFont="1" applyBorder="1" applyAlignment="1">
      <alignment/>
    </xf>
    <xf numFmtId="0" fontId="72" fillId="0" borderId="0" xfId="0" applyFont="1" applyBorder="1" applyAlignment="1">
      <alignment/>
    </xf>
    <xf numFmtId="0" fontId="2" fillId="37" borderId="0" xfId="0" applyFont="1" applyFill="1" applyBorder="1" applyAlignment="1">
      <alignment horizontal="center" vertical="center"/>
    </xf>
    <xf numFmtId="0" fontId="2" fillId="37" borderId="0" xfId="0" applyFont="1" applyFill="1" applyBorder="1" applyAlignment="1">
      <alignment horizontal="center"/>
    </xf>
    <xf numFmtId="0" fontId="65" fillId="0" borderId="0" xfId="0" applyFont="1" applyAlignment="1">
      <alignment horizontal="left" vertical="center"/>
    </xf>
    <xf numFmtId="0" fontId="15" fillId="0" borderId="0" xfId="0" applyFont="1" applyAlignment="1">
      <alignment/>
    </xf>
    <xf numFmtId="0" fontId="113" fillId="0" borderId="0" xfId="44" applyFont="1" applyBorder="1" applyAlignment="1" applyProtection="1">
      <alignment horizontal="left" vertical="center"/>
      <protection/>
    </xf>
    <xf numFmtId="0" fontId="0" fillId="0" borderId="0" xfId="44" applyFont="1" applyBorder="1" applyAlignment="1" applyProtection="1">
      <alignment horizontal="center" vertical="center"/>
      <protection/>
    </xf>
    <xf numFmtId="0" fontId="2" fillId="0" borderId="14" xfId="0" applyFont="1" applyBorder="1" applyAlignment="1">
      <alignment horizontal="center" vertical="center"/>
    </xf>
    <xf numFmtId="0" fontId="61" fillId="0" borderId="0" xfId="0" applyFont="1" applyAlignment="1">
      <alignment/>
    </xf>
    <xf numFmtId="2" fontId="2" fillId="0" borderId="0" xfId="0" applyNumberFormat="1" applyFont="1" applyBorder="1" applyAlignment="1">
      <alignment horizontal="center" vertical="center"/>
    </xf>
    <xf numFmtId="0" fontId="2" fillId="0" borderId="0" xfId="0" applyFont="1" applyAlignment="1">
      <alignment vertical="center"/>
    </xf>
    <xf numFmtId="2" fontId="2" fillId="0" borderId="14" xfId="0" applyNumberFormat="1" applyFont="1" applyBorder="1" applyAlignment="1">
      <alignment horizontal="center" vertical="center"/>
    </xf>
    <xf numFmtId="0" fontId="16" fillId="35" borderId="0" xfId="0" applyFont="1" applyFill="1" applyBorder="1" applyAlignment="1">
      <alignment horizontal="center" vertical="center"/>
    </xf>
    <xf numFmtId="0" fontId="121" fillId="0" borderId="0" xfId="0" applyFont="1" applyBorder="1" applyAlignment="1">
      <alignment/>
    </xf>
    <xf numFmtId="0" fontId="2" fillId="0" borderId="0" xfId="0" applyFont="1" applyAlignment="1">
      <alignment/>
    </xf>
    <xf numFmtId="0" fontId="2" fillId="0" borderId="14" xfId="0" applyFont="1" applyBorder="1" applyAlignment="1">
      <alignment/>
    </xf>
    <xf numFmtId="0" fontId="121" fillId="0" borderId="14" xfId="0" applyFont="1" applyBorder="1" applyAlignment="1">
      <alignment/>
    </xf>
    <xf numFmtId="0" fontId="10" fillId="0" borderId="0" xfId="0" applyFont="1" applyAlignment="1">
      <alignment horizontal="left"/>
    </xf>
    <xf numFmtId="2" fontId="0" fillId="38" borderId="10" xfId="0" applyNumberFormat="1" applyFill="1" applyBorder="1" applyAlignment="1">
      <alignment/>
    </xf>
    <xf numFmtId="0" fontId="2" fillId="35" borderId="0" xfId="0" applyFont="1" applyFill="1" applyBorder="1" applyAlignment="1">
      <alignment horizontal="center" vertical="center"/>
    </xf>
    <xf numFmtId="0" fontId="6" fillId="0" borderId="0" xfId="0" applyFont="1" applyAlignment="1">
      <alignment horizontal="center"/>
    </xf>
    <xf numFmtId="2" fontId="0" fillId="38" borderId="10" xfId="0" applyNumberFormat="1" applyFill="1" applyBorder="1" applyAlignment="1">
      <alignment vertical="center"/>
    </xf>
    <xf numFmtId="2" fontId="0" fillId="38" borderId="0" xfId="0" applyNumberFormat="1" applyFill="1" applyAlignment="1">
      <alignment/>
    </xf>
    <xf numFmtId="0" fontId="2" fillId="0" borderId="0" xfId="0" applyFont="1" applyBorder="1" applyAlignment="1">
      <alignment horizontal="center" vertical="center"/>
    </xf>
    <xf numFmtId="0" fontId="2" fillId="0" borderId="0" xfId="0" applyFont="1" applyBorder="1" applyAlignment="1">
      <alignment/>
    </xf>
    <xf numFmtId="0" fontId="17" fillId="0" borderId="0" xfId="0" applyFont="1" applyAlignment="1">
      <alignment horizontal="center" vertical="top"/>
    </xf>
    <xf numFmtId="0" fontId="127" fillId="0" borderId="0" xfId="0" applyFont="1" applyAlignment="1">
      <alignment horizontal="left" vertical="top"/>
    </xf>
    <xf numFmtId="0" fontId="16" fillId="35" borderId="0" xfId="0" applyFont="1" applyFill="1" applyBorder="1" applyAlignment="1">
      <alignment horizontal="center" vertical="top"/>
    </xf>
    <xf numFmtId="2" fontId="0" fillId="39" borderId="0" xfId="0" applyNumberFormat="1" applyFill="1" applyAlignment="1">
      <alignment vertical="center"/>
    </xf>
    <xf numFmtId="0" fontId="17" fillId="35" borderId="0" xfId="0" applyFont="1" applyFill="1" applyBorder="1" applyAlignment="1">
      <alignment horizontal="center" vertical="top"/>
    </xf>
    <xf numFmtId="0" fontId="22" fillId="0" borderId="0" xfId="0" applyFont="1" applyBorder="1" applyAlignment="1">
      <alignment vertical="center"/>
    </xf>
    <xf numFmtId="0" fontId="128" fillId="0" borderId="0" xfId="0" applyFont="1" applyAlignment="1">
      <alignment/>
    </xf>
    <xf numFmtId="0" fontId="129" fillId="0" borderId="0" xfId="0" applyFont="1" applyAlignment="1">
      <alignment horizontal="right" vertical="top"/>
    </xf>
    <xf numFmtId="2" fontId="128" fillId="0" borderId="0" xfId="0" applyNumberFormat="1" applyFont="1" applyAlignment="1">
      <alignment horizontal="left" vertical="top"/>
    </xf>
    <xf numFmtId="0" fontId="128" fillId="0" borderId="0" xfId="0" applyFont="1" applyAlignment="1">
      <alignment horizontal="right" vertical="top"/>
    </xf>
    <xf numFmtId="2" fontId="2" fillId="35" borderId="14" xfId="0" applyNumberFormat="1" applyFont="1" applyFill="1" applyBorder="1" applyAlignment="1">
      <alignment horizontal="center" vertical="center"/>
    </xf>
    <xf numFmtId="2" fontId="2" fillId="35" borderId="15" xfId="0" applyNumberFormat="1" applyFont="1" applyFill="1" applyBorder="1" applyAlignment="1">
      <alignment horizontal="center" vertical="center"/>
    </xf>
    <xf numFmtId="2" fontId="2" fillId="0" borderId="16" xfId="0" applyNumberFormat="1" applyFont="1" applyBorder="1" applyAlignment="1">
      <alignment horizontal="center" vertical="center"/>
    </xf>
    <xf numFmtId="0" fontId="129" fillId="0" borderId="0" xfId="0" applyFont="1" applyAlignment="1">
      <alignment horizontal="right"/>
    </xf>
    <xf numFmtId="2" fontId="2" fillId="0" borderId="17" xfId="0" applyNumberFormat="1" applyFont="1" applyBorder="1" applyAlignment="1">
      <alignment horizontal="center" vertical="center"/>
    </xf>
    <xf numFmtId="2" fontId="128" fillId="0" borderId="0" xfId="0" applyNumberFormat="1" applyFont="1" applyAlignment="1">
      <alignment horizontal="right"/>
    </xf>
    <xf numFmtId="0" fontId="2" fillId="0" borderId="0" xfId="0" applyFont="1" applyBorder="1" applyAlignment="1">
      <alignment horizontal="left" vertical="top"/>
    </xf>
    <xf numFmtId="0" fontId="2" fillId="40" borderId="0" xfId="0" applyFont="1" applyFill="1" applyAlignment="1">
      <alignment horizontal="center" vertical="center"/>
    </xf>
    <xf numFmtId="14" fontId="2" fillId="0" borderId="0" xfId="0" applyNumberFormat="1" applyFont="1" applyBorder="1" applyAlignment="1">
      <alignment/>
    </xf>
    <xf numFmtId="0" fontId="65" fillId="0" borderId="18" xfId="0" applyFont="1" applyBorder="1" applyAlignment="1">
      <alignment vertical="center"/>
    </xf>
    <xf numFmtId="0" fontId="65" fillId="0" borderId="0" xfId="0" applyFont="1" applyAlignment="1">
      <alignment vertical="center"/>
    </xf>
    <xf numFmtId="0" fontId="75" fillId="0" borderId="0" xfId="0" applyFont="1" applyBorder="1" applyAlignment="1">
      <alignment/>
    </xf>
    <xf numFmtId="0" fontId="6" fillId="0" borderId="0" xfId="0" applyFont="1" applyAlignment="1">
      <alignment/>
    </xf>
    <xf numFmtId="0" fontId="1" fillId="0" borderId="19" xfId="0" applyFont="1" applyFill="1" applyBorder="1" applyAlignment="1">
      <alignment/>
    </xf>
    <xf numFmtId="0" fontId="1" fillId="0" borderId="0" xfId="0" applyFont="1" applyFill="1" applyBorder="1" applyAlignment="1">
      <alignment/>
    </xf>
    <xf numFmtId="0" fontId="1" fillId="0" borderId="0" xfId="0" applyFont="1" applyBorder="1" applyAlignment="1">
      <alignment vertical="center"/>
    </xf>
    <xf numFmtId="175" fontId="1" fillId="0" borderId="14" xfId="0" applyNumberFormat="1" applyFont="1" applyBorder="1" applyAlignment="1">
      <alignment horizontal="center"/>
    </xf>
    <xf numFmtId="175" fontId="1" fillId="0" borderId="20" xfId="0" applyNumberFormat="1" applyFont="1" applyFill="1" applyBorder="1" applyAlignment="1">
      <alignment horizontal="center" vertical="center"/>
    </xf>
    <xf numFmtId="0" fontId="0" fillId="0" borderId="0" xfId="0" applyAlignment="1">
      <alignment horizontal="left" indent="5"/>
    </xf>
    <xf numFmtId="0" fontId="1" fillId="0" borderId="0" xfId="0" applyFont="1" applyBorder="1" applyAlignment="1">
      <alignment horizontal="left" vertical="center"/>
    </xf>
    <xf numFmtId="0" fontId="1" fillId="0" borderId="0" xfId="0" applyFont="1" applyBorder="1" applyAlignment="1">
      <alignment/>
    </xf>
    <xf numFmtId="0" fontId="75" fillId="0" borderId="0" xfId="0" applyFont="1" applyAlignment="1">
      <alignment/>
    </xf>
    <xf numFmtId="175" fontId="1" fillId="0" borderId="0" xfId="0" applyNumberFormat="1" applyFont="1" applyBorder="1" applyAlignment="1">
      <alignment vertical="center"/>
    </xf>
    <xf numFmtId="0" fontId="125" fillId="0" borderId="0" xfId="0" applyFont="1" applyBorder="1" applyAlignment="1">
      <alignment horizontal="left" vertical="center"/>
    </xf>
    <xf numFmtId="0" fontId="72" fillId="0" borderId="0" xfId="0" applyFont="1" applyBorder="1" applyAlignment="1">
      <alignment horizontal="center"/>
    </xf>
    <xf numFmtId="0" fontId="0" fillId="0" borderId="0" xfId="0" applyFont="1" applyAlignment="1">
      <alignment/>
    </xf>
    <xf numFmtId="44" fontId="23" fillId="0" borderId="0" xfId="0" applyNumberFormat="1" applyFont="1" applyFill="1" applyAlignment="1">
      <alignment vertical="center"/>
    </xf>
    <xf numFmtId="44" fontId="23" fillId="35" borderId="0" xfId="0" applyNumberFormat="1" applyFont="1" applyFill="1" applyBorder="1" applyAlignment="1">
      <alignment vertical="center"/>
    </xf>
    <xf numFmtId="10" fontId="25" fillId="35" borderId="0" xfId="0" applyNumberFormat="1" applyFont="1" applyFill="1" applyBorder="1" applyAlignment="1">
      <alignment vertical="center"/>
    </xf>
    <xf numFmtId="10" fontId="26" fillId="35" borderId="0" xfId="0" applyNumberFormat="1" applyFont="1" applyFill="1" applyBorder="1" applyAlignment="1">
      <alignment vertical="center"/>
    </xf>
    <xf numFmtId="44" fontId="23" fillId="5" borderId="21" xfId="0" applyNumberFormat="1" applyFont="1" applyFill="1" applyBorder="1" applyAlignment="1" applyProtection="1">
      <alignment vertical="center"/>
      <protection hidden="1"/>
    </xf>
    <xf numFmtId="44" fontId="23" fillId="5" borderId="22" xfId="0" applyNumberFormat="1" applyFont="1" applyFill="1" applyBorder="1" applyAlignment="1" applyProtection="1">
      <alignment vertical="center"/>
      <protection hidden="1"/>
    </xf>
    <xf numFmtId="44" fontId="130" fillId="5" borderId="21" xfId="0" applyNumberFormat="1" applyFont="1" applyFill="1" applyBorder="1" applyAlignment="1" applyProtection="1">
      <alignment vertical="center"/>
      <protection hidden="1"/>
    </xf>
    <xf numFmtId="44" fontId="130" fillId="5" borderId="22" xfId="0" applyNumberFormat="1" applyFont="1" applyFill="1" applyBorder="1" applyAlignment="1" applyProtection="1">
      <alignment vertical="center"/>
      <protection hidden="1"/>
    </xf>
    <xf numFmtId="0" fontId="23" fillId="5" borderId="21" xfId="0" applyFont="1" applyFill="1" applyBorder="1" applyAlignment="1" applyProtection="1">
      <alignment vertical="center"/>
      <protection hidden="1"/>
    </xf>
    <xf numFmtId="44" fontId="29" fillId="5" borderId="21" xfId="0" applyNumberFormat="1" applyFont="1" applyFill="1" applyBorder="1" applyAlignment="1" applyProtection="1">
      <alignment vertical="center"/>
      <protection hidden="1"/>
    </xf>
    <xf numFmtId="44" fontId="29" fillId="5" borderId="22" xfId="0" applyNumberFormat="1" applyFont="1" applyFill="1" applyBorder="1" applyAlignment="1" applyProtection="1">
      <alignment vertical="center"/>
      <protection hidden="1"/>
    </xf>
    <xf numFmtId="165" fontId="26" fillId="5" borderId="21" xfId="0" applyNumberFormat="1" applyFont="1" applyFill="1" applyBorder="1" applyAlignment="1" applyProtection="1">
      <alignment vertical="center"/>
      <protection locked="0"/>
    </xf>
    <xf numFmtId="0" fontId="26" fillId="5" borderId="21" xfId="0" applyNumberFormat="1" applyFont="1" applyFill="1" applyBorder="1" applyAlignment="1" applyProtection="1">
      <alignment vertical="center"/>
      <protection hidden="1"/>
    </xf>
    <xf numFmtId="44" fontId="130" fillId="5" borderId="21" xfId="0" applyNumberFormat="1" applyFont="1" applyFill="1" applyBorder="1" applyAlignment="1" applyProtection="1">
      <alignment vertical="center"/>
      <protection locked="0"/>
    </xf>
    <xf numFmtId="44" fontId="26" fillId="5" borderId="21" xfId="0" applyNumberFormat="1" applyFont="1" applyFill="1" applyBorder="1" applyAlignment="1" applyProtection="1">
      <alignment vertical="center"/>
      <protection hidden="1"/>
    </xf>
    <xf numFmtId="44" fontId="23" fillId="5" borderId="23" xfId="0" applyNumberFormat="1" applyFont="1" applyFill="1" applyBorder="1" applyAlignment="1" applyProtection="1">
      <alignment vertical="center"/>
      <protection hidden="1"/>
    </xf>
    <xf numFmtId="0" fontId="0" fillId="0" borderId="0" xfId="0" applyAlignment="1">
      <alignment/>
    </xf>
    <xf numFmtId="0" fontId="0" fillId="35" borderId="0" xfId="0" applyFill="1" applyAlignment="1">
      <alignment/>
    </xf>
    <xf numFmtId="0" fontId="23" fillId="0" borderId="0" xfId="0" applyFont="1" applyFill="1" applyAlignment="1">
      <alignment vertical="center"/>
    </xf>
    <xf numFmtId="10" fontId="25" fillId="0" borderId="0" xfId="0" applyNumberFormat="1" applyFont="1" applyFill="1" applyAlignment="1">
      <alignment vertical="center"/>
    </xf>
    <xf numFmtId="10" fontId="25" fillId="0" borderId="0" xfId="0" applyNumberFormat="1" applyFont="1" applyFill="1" applyAlignment="1">
      <alignment horizontal="center" vertical="center"/>
    </xf>
    <xf numFmtId="0" fontId="29" fillId="23" borderId="24" xfId="0" applyFont="1" applyFill="1" applyBorder="1" applyAlignment="1" applyProtection="1">
      <alignment horizontal="center" vertical="center"/>
      <protection hidden="1"/>
    </xf>
    <xf numFmtId="44" fontId="29" fillId="23" borderId="25" xfId="0" applyNumberFormat="1" applyFont="1" applyFill="1" applyBorder="1" applyAlignment="1" applyProtection="1">
      <alignment horizontal="center" vertical="center"/>
      <protection hidden="1"/>
    </xf>
    <xf numFmtId="10" fontId="29" fillId="23" borderId="25" xfId="0" applyNumberFormat="1" applyFont="1" applyFill="1" applyBorder="1" applyAlignment="1" applyProtection="1">
      <alignment horizontal="center" vertical="center"/>
      <protection hidden="1"/>
    </xf>
    <xf numFmtId="0" fontId="31" fillId="23" borderId="26" xfId="0" applyFont="1" applyFill="1" applyBorder="1" applyAlignment="1" applyProtection="1">
      <alignment horizontal="center" vertical="center"/>
      <protection hidden="1"/>
    </xf>
    <xf numFmtId="0" fontId="29" fillId="23" borderId="26" xfId="0" applyFont="1" applyFill="1" applyBorder="1" applyAlignment="1" applyProtection="1">
      <alignment vertical="center"/>
      <protection hidden="1"/>
    </xf>
    <xf numFmtId="0" fontId="23" fillId="35" borderId="0" xfId="0" applyFont="1" applyFill="1" applyAlignment="1" applyProtection="1">
      <alignment vertical="center"/>
      <protection hidden="1"/>
    </xf>
    <xf numFmtId="44" fontId="24" fillId="35" borderId="0" xfId="0" applyNumberFormat="1" applyFont="1" applyFill="1" applyAlignment="1">
      <alignment vertical="center"/>
    </xf>
    <xf numFmtId="44" fontId="23" fillId="35" borderId="0" xfId="0" applyNumberFormat="1" applyFont="1" applyFill="1" applyAlignment="1" applyProtection="1">
      <alignment vertical="center"/>
      <protection hidden="1"/>
    </xf>
    <xf numFmtId="10" fontId="25" fillId="35" borderId="0" xfId="0" applyNumberFormat="1" applyFont="1" applyFill="1" applyAlignment="1" applyProtection="1">
      <alignment vertical="center"/>
      <protection hidden="1"/>
    </xf>
    <xf numFmtId="10" fontId="25" fillId="35" borderId="0" xfId="0" applyNumberFormat="1" applyFont="1" applyFill="1" applyAlignment="1" applyProtection="1">
      <alignment horizontal="center" vertical="center"/>
      <protection hidden="1"/>
    </xf>
    <xf numFmtId="44" fontId="131" fillId="35" borderId="0" xfId="0" applyNumberFormat="1" applyFont="1" applyFill="1" applyAlignment="1" applyProtection="1">
      <alignment vertical="center"/>
      <protection hidden="1"/>
    </xf>
    <xf numFmtId="42" fontId="132" fillId="35" borderId="12" xfId="0" applyNumberFormat="1" applyFont="1" applyFill="1" applyBorder="1" applyAlignment="1" applyProtection="1">
      <alignment horizontal="center" vertical="center"/>
      <protection hidden="1"/>
    </xf>
    <xf numFmtId="0" fontId="23" fillId="35" borderId="0" xfId="0" applyFont="1" applyFill="1" applyAlignment="1">
      <alignment vertical="center"/>
    </xf>
    <xf numFmtId="44" fontId="23" fillId="35" borderId="0" xfId="0" applyNumberFormat="1" applyFont="1" applyFill="1" applyAlignment="1">
      <alignment vertical="center"/>
    </xf>
    <xf numFmtId="10" fontId="25" fillId="35" borderId="0" xfId="0" applyNumberFormat="1" applyFont="1" applyFill="1" applyAlignment="1">
      <alignment vertical="center"/>
    </xf>
    <xf numFmtId="10" fontId="25" fillId="35" borderId="0" xfId="0" applyNumberFormat="1" applyFont="1" applyFill="1" applyAlignment="1">
      <alignment horizontal="center" vertical="center"/>
    </xf>
    <xf numFmtId="0" fontId="23" fillId="35" borderId="27" xfId="0" applyFont="1" applyFill="1" applyBorder="1" applyAlignment="1">
      <alignment vertical="center"/>
    </xf>
    <xf numFmtId="44" fontId="23" fillId="35" borderId="28" xfId="0" applyNumberFormat="1" applyFont="1" applyFill="1" applyBorder="1" applyAlignment="1" applyProtection="1">
      <alignment vertical="center"/>
      <protection locked="0"/>
    </xf>
    <xf numFmtId="44" fontId="26" fillId="35" borderId="0" xfId="0" applyNumberFormat="1" applyFont="1" applyFill="1" applyBorder="1" applyAlignment="1" applyProtection="1">
      <alignment vertical="center"/>
      <protection locked="0"/>
    </xf>
    <xf numFmtId="0" fontId="23" fillId="35" borderId="29" xfId="0" applyFont="1" applyFill="1" applyBorder="1" applyAlignment="1">
      <alignment vertical="center"/>
    </xf>
    <xf numFmtId="44" fontId="130" fillId="35" borderId="30" xfId="0" applyNumberFormat="1" applyFont="1" applyFill="1" applyBorder="1" applyAlignment="1" applyProtection="1">
      <alignment vertical="center"/>
      <protection locked="0"/>
    </xf>
    <xf numFmtId="44" fontId="23" fillId="35" borderId="30" xfId="0" applyNumberFormat="1" applyFont="1" applyFill="1" applyBorder="1" applyAlignment="1" applyProtection="1">
      <alignment vertical="center"/>
      <protection locked="0"/>
    </xf>
    <xf numFmtId="176" fontId="130" fillId="35" borderId="30" xfId="0" applyNumberFormat="1" applyFont="1" applyFill="1" applyBorder="1" applyAlignment="1" applyProtection="1">
      <alignment vertical="center"/>
      <protection hidden="1"/>
    </xf>
    <xf numFmtId="0" fontId="23" fillId="35" borderId="29" xfId="0" applyFont="1" applyFill="1" applyBorder="1" applyAlignment="1" applyProtection="1">
      <alignment vertical="center"/>
      <protection hidden="1"/>
    </xf>
    <xf numFmtId="2" fontId="27" fillId="35" borderId="29" xfId="0" applyNumberFormat="1" applyFont="1" applyFill="1" applyBorder="1" applyAlignment="1" applyProtection="1">
      <alignment vertical="center"/>
      <protection hidden="1"/>
    </xf>
    <xf numFmtId="0" fontId="27" fillId="35" borderId="29" xfId="0" applyFont="1" applyFill="1" applyBorder="1" applyAlignment="1" applyProtection="1">
      <alignment vertical="center"/>
      <protection hidden="1"/>
    </xf>
    <xf numFmtId="177" fontId="27" fillId="35" borderId="30" xfId="0" applyNumberFormat="1" applyFont="1" applyFill="1" applyBorder="1" applyAlignment="1" applyProtection="1">
      <alignment vertical="center"/>
      <protection hidden="1"/>
    </xf>
    <xf numFmtId="177" fontId="27" fillId="35" borderId="0" xfId="0" applyNumberFormat="1" applyFont="1" applyFill="1" applyBorder="1" applyAlignment="1" applyProtection="1">
      <alignment vertical="center"/>
      <protection hidden="1"/>
    </xf>
    <xf numFmtId="177" fontId="27" fillId="35" borderId="30" xfId="0" applyNumberFormat="1" applyFont="1" applyFill="1" applyBorder="1" applyAlignment="1" applyProtection="1">
      <alignment horizontal="center" vertical="center"/>
      <protection hidden="1"/>
    </xf>
    <xf numFmtId="177" fontId="27" fillId="35" borderId="0" xfId="0" applyNumberFormat="1" applyFont="1" applyFill="1" applyBorder="1" applyAlignment="1" applyProtection="1">
      <alignment horizontal="center" vertical="center"/>
      <protection hidden="1"/>
    </xf>
    <xf numFmtId="44" fontId="27" fillId="35" borderId="30" xfId="0" applyNumberFormat="1" applyFont="1" applyFill="1" applyBorder="1" applyAlignment="1" applyProtection="1">
      <alignment vertical="center"/>
      <protection hidden="1"/>
    </xf>
    <xf numFmtId="44" fontId="23" fillId="35" borderId="30" xfId="0" applyNumberFormat="1" applyFont="1" applyFill="1" applyBorder="1" applyAlignment="1" applyProtection="1">
      <alignment vertical="center"/>
      <protection hidden="1"/>
    </xf>
    <xf numFmtId="44" fontId="23" fillId="35" borderId="0" xfId="0" applyNumberFormat="1" applyFont="1" applyFill="1" applyBorder="1" applyAlignment="1" applyProtection="1">
      <alignment vertical="center"/>
      <protection hidden="1"/>
    </xf>
    <xf numFmtId="44" fontId="28" fillId="35" borderId="30" xfId="0" applyNumberFormat="1" applyFont="1" applyFill="1" applyBorder="1" applyAlignment="1" applyProtection="1">
      <alignment vertical="center"/>
      <protection locked="0"/>
    </xf>
    <xf numFmtId="44" fontId="27" fillId="35" borderId="0" xfId="0" applyNumberFormat="1" applyFont="1" applyFill="1" applyBorder="1" applyAlignment="1" applyProtection="1">
      <alignment vertical="center"/>
      <protection locked="0"/>
    </xf>
    <xf numFmtId="44" fontId="28" fillId="35" borderId="30" xfId="0" applyNumberFormat="1" applyFont="1" applyFill="1" applyBorder="1" applyAlignment="1" applyProtection="1">
      <alignment horizontal="center" vertical="center"/>
      <protection locked="0"/>
    </xf>
    <xf numFmtId="0" fontId="23" fillId="35" borderId="0" xfId="0" applyNumberFormat="1" applyFont="1" applyFill="1" applyAlignment="1">
      <alignment vertical="center"/>
    </xf>
    <xf numFmtId="0" fontId="23" fillId="35" borderId="31" xfId="0" applyFont="1" applyFill="1" applyBorder="1" applyAlignment="1" applyProtection="1">
      <alignment vertical="center"/>
      <protection hidden="1"/>
    </xf>
    <xf numFmtId="44" fontId="28" fillId="35" borderId="32" xfId="0" applyNumberFormat="1" applyFont="1" applyFill="1" applyBorder="1" applyAlignment="1" applyProtection="1">
      <alignment horizontal="center" vertical="center"/>
      <protection locked="0"/>
    </xf>
    <xf numFmtId="44" fontId="27" fillId="35" borderId="0" xfId="0" applyNumberFormat="1" applyFont="1" applyFill="1" applyBorder="1" applyAlignment="1" applyProtection="1">
      <alignment horizontal="center" vertical="center"/>
      <protection locked="0"/>
    </xf>
    <xf numFmtId="44" fontId="26" fillId="35" borderId="0" xfId="0" applyNumberFormat="1" applyFont="1" applyFill="1" applyAlignment="1">
      <alignment vertical="center"/>
    </xf>
    <xf numFmtId="10" fontId="30" fillId="35" borderId="0" xfId="0" applyNumberFormat="1" applyFont="1" applyFill="1" applyBorder="1" applyAlignment="1" applyProtection="1">
      <alignment horizontal="center" vertical="center"/>
      <protection hidden="1"/>
    </xf>
    <xf numFmtId="0" fontId="23" fillId="35" borderId="26" xfId="0" applyFont="1" applyFill="1" applyBorder="1" applyAlignment="1" applyProtection="1">
      <alignment vertical="center"/>
      <protection hidden="1"/>
    </xf>
    <xf numFmtId="44" fontId="23" fillId="35" borderId="21" xfId="0" applyNumberFormat="1" applyFont="1" applyFill="1" applyBorder="1" applyAlignment="1" applyProtection="1">
      <alignment vertical="center"/>
      <protection hidden="1"/>
    </xf>
    <xf numFmtId="10" fontId="25" fillId="35" borderId="21" xfId="0" applyNumberFormat="1" applyFont="1" applyFill="1" applyBorder="1" applyAlignment="1" applyProtection="1">
      <alignment vertical="center"/>
      <protection hidden="1"/>
    </xf>
    <xf numFmtId="44" fontId="30" fillId="35" borderId="0" xfId="0" applyNumberFormat="1" applyFont="1" applyFill="1" applyBorder="1" applyAlignment="1" applyProtection="1">
      <alignment vertical="center"/>
      <protection hidden="1"/>
    </xf>
    <xf numFmtId="10" fontId="23" fillId="35" borderId="33" xfId="0" applyNumberFormat="1" applyFont="1" applyFill="1" applyBorder="1" applyAlignment="1">
      <alignment horizontal="center" vertical="center"/>
    </xf>
    <xf numFmtId="0" fontId="31" fillId="35" borderId="26" xfId="0" applyFont="1" applyFill="1" applyBorder="1" applyAlignment="1" applyProtection="1">
      <alignment horizontal="center" vertical="center"/>
      <protection hidden="1"/>
    </xf>
    <xf numFmtId="10" fontId="130" fillId="35" borderId="21" xfId="0" applyNumberFormat="1" applyFont="1" applyFill="1" applyBorder="1" applyAlignment="1" applyProtection="1">
      <alignment vertical="center"/>
      <protection hidden="1"/>
    </xf>
    <xf numFmtId="10" fontId="130" fillId="35" borderId="21" xfId="46" applyNumberFormat="1" applyFont="1" applyFill="1" applyBorder="1" applyAlignment="1" applyProtection="1">
      <alignment vertical="center"/>
      <protection locked="0"/>
    </xf>
    <xf numFmtId="10" fontId="130" fillId="35" borderId="21" xfId="0" applyNumberFormat="1" applyFont="1" applyFill="1" applyBorder="1" applyAlignment="1" applyProtection="1">
      <alignment vertical="center"/>
      <protection locked="0"/>
    </xf>
    <xf numFmtId="10" fontId="130" fillId="35" borderId="21" xfId="46" applyNumberFormat="1" applyFont="1" applyFill="1" applyBorder="1" applyAlignment="1" applyProtection="1">
      <alignment vertical="center"/>
      <protection hidden="1"/>
    </xf>
    <xf numFmtId="10" fontId="133" fillId="35" borderId="21" xfId="0" applyNumberFormat="1" applyFont="1" applyFill="1" applyBorder="1" applyAlignment="1" applyProtection="1">
      <alignment vertical="center"/>
      <protection locked="0"/>
    </xf>
    <xf numFmtId="0" fontId="30" fillId="35" borderId="0" xfId="0" applyFont="1" applyFill="1" applyAlignment="1">
      <alignment vertical="center"/>
    </xf>
    <xf numFmtId="10" fontId="133" fillId="35" borderId="21" xfId="0" applyNumberFormat="1" applyFont="1" applyFill="1" applyBorder="1" applyAlignment="1" applyProtection="1">
      <alignment vertical="center"/>
      <protection hidden="1"/>
    </xf>
    <xf numFmtId="178" fontId="130" fillId="35" borderId="21" xfId="46" applyNumberFormat="1" applyFont="1" applyFill="1" applyBorder="1" applyAlignment="1" applyProtection="1">
      <alignment vertical="center"/>
      <protection hidden="1"/>
    </xf>
    <xf numFmtId="0" fontId="130" fillId="35" borderId="26" xfId="0" applyFont="1" applyFill="1" applyBorder="1" applyAlignment="1" applyProtection="1">
      <alignment vertical="center"/>
      <protection hidden="1"/>
    </xf>
    <xf numFmtId="0" fontId="23" fillId="35" borderId="21" xfId="0" applyFont="1" applyFill="1" applyBorder="1" applyAlignment="1" applyProtection="1">
      <alignment vertical="center"/>
      <protection hidden="1"/>
    </xf>
    <xf numFmtId="0" fontId="130" fillId="35" borderId="21" xfId="0" applyFont="1" applyFill="1" applyBorder="1" applyAlignment="1" applyProtection="1">
      <alignment vertical="center"/>
      <protection hidden="1"/>
    </xf>
    <xf numFmtId="2" fontId="23" fillId="35" borderId="21" xfId="46" applyNumberFormat="1" applyFont="1" applyFill="1" applyBorder="1" applyAlignment="1" applyProtection="1">
      <alignment vertical="center"/>
      <protection hidden="1"/>
    </xf>
    <xf numFmtId="177" fontId="23" fillId="35" borderId="21" xfId="46" applyNumberFormat="1" applyFont="1" applyFill="1" applyBorder="1" applyAlignment="1" applyProtection="1">
      <alignment vertical="center"/>
      <protection hidden="1"/>
    </xf>
    <xf numFmtId="2" fontId="26" fillId="35" borderId="21" xfId="46" applyNumberFormat="1" applyFont="1" applyFill="1" applyBorder="1" applyAlignment="1" applyProtection="1">
      <alignment vertical="center"/>
      <protection hidden="1"/>
    </xf>
    <xf numFmtId="10" fontId="26" fillId="35" borderId="21" xfId="46" applyNumberFormat="1" applyFont="1" applyFill="1" applyBorder="1" applyAlignment="1" applyProtection="1">
      <alignment vertical="center"/>
      <protection hidden="1"/>
    </xf>
    <xf numFmtId="10" fontId="23" fillId="35" borderId="33" xfId="0" applyNumberFormat="1" applyFont="1" applyFill="1" applyBorder="1" applyAlignment="1" applyProtection="1">
      <alignment horizontal="center" vertical="center"/>
      <protection locked="0"/>
    </xf>
    <xf numFmtId="0" fontId="29" fillId="35" borderId="26" xfId="0" applyFont="1" applyFill="1" applyBorder="1" applyAlignment="1" applyProtection="1">
      <alignment vertical="center"/>
      <protection hidden="1"/>
    </xf>
    <xf numFmtId="44" fontId="29" fillId="35" borderId="21" xfId="0" applyNumberFormat="1" applyFont="1" applyFill="1" applyBorder="1" applyAlignment="1" applyProtection="1">
      <alignment vertical="center"/>
      <protection hidden="1"/>
    </xf>
    <xf numFmtId="10" fontId="29" fillId="35" borderId="21" xfId="0" applyNumberFormat="1" applyFont="1" applyFill="1" applyBorder="1" applyAlignment="1" applyProtection="1">
      <alignment vertical="center"/>
      <protection hidden="1"/>
    </xf>
    <xf numFmtId="44" fontId="29" fillId="35" borderId="0" xfId="0" applyNumberFormat="1" applyFont="1" applyFill="1" applyBorder="1" applyAlignment="1" applyProtection="1">
      <alignment vertical="center"/>
      <protection hidden="1"/>
    </xf>
    <xf numFmtId="0" fontId="134" fillId="35" borderId="21" xfId="0" applyFont="1" applyFill="1" applyBorder="1" applyAlignment="1" applyProtection="1">
      <alignment vertical="center"/>
      <protection hidden="1"/>
    </xf>
    <xf numFmtId="10" fontId="134" fillId="35" borderId="21" xfId="46" applyNumberFormat="1" applyFont="1" applyFill="1" applyBorder="1" applyAlignment="1" applyProtection="1">
      <alignment vertical="center"/>
      <protection hidden="1"/>
    </xf>
    <xf numFmtId="0" fontId="135" fillId="35" borderId="26" xfId="0" applyFont="1" applyFill="1" applyBorder="1" applyAlignment="1" applyProtection="1">
      <alignment vertical="center"/>
      <protection hidden="1"/>
    </xf>
    <xf numFmtId="165" fontId="26" fillId="35" borderId="21" xfId="0" applyNumberFormat="1" applyFont="1" applyFill="1" applyBorder="1" applyAlignment="1" applyProtection="1">
      <alignment vertical="center"/>
      <protection hidden="1"/>
    </xf>
    <xf numFmtId="175" fontId="134" fillId="35" borderId="21" xfId="46" applyNumberFormat="1" applyFont="1" applyFill="1" applyBorder="1" applyAlignment="1" applyProtection="1">
      <alignment vertical="center"/>
      <protection hidden="1"/>
    </xf>
    <xf numFmtId="0" fontId="26" fillId="35" borderId="21" xfId="0" applyNumberFormat="1" applyFont="1" applyFill="1" applyBorder="1" applyAlignment="1" applyProtection="1">
      <alignment vertical="center"/>
      <protection hidden="1"/>
    </xf>
    <xf numFmtId="0" fontId="134" fillId="35" borderId="21" xfId="46" applyNumberFormat="1" applyFont="1" applyFill="1" applyBorder="1" applyAlignment="1" applyProtection="1">
      <alignment vertical="center"/>
      <protection hidden="1"/>
    </xf>
    <xf numFmtId="0" fontId="26" fillId="35" borderId="26" xfId="0" applyFont="1" applyFill="1" applyBorder="1" applyAlignment="1" applyProtection="1">
      <alignment vertical="center"/>
      <protection hidden="1"/>
    </xf>
    <xf numFmtId="0" fontId="23" fillId="35" borderId="34" xfId="0" applyFont="1" applyFill="1" applyBorder="1" applyAlignment="1" applyProtection="1">
      <alignment vertical="center"/>
      <protection hidden="1"/>
    </xf>
    <xf numFmtId="44" fontId="23" fillId="35" borderId="23" xfId="0" applyNumberFormat="1" applyFont="1" applyFill="1" applyBorder="1" applyAlignment="1" applyProtection="1">
      <alignment vertical="center"/>
      <protection hidden="1"/>
    </xf>
    <xf numFmtId="10" fontId="134" fillId="35" borderId="23" xfId="0" applyNumberFormat="1" applyFont="1" applyFill="1" applyBorder="1" applyAlignment="1" applyProtection="1">
      <alignment vertical="center"/>
      <protection hidden="1"/>
    </xf>
    <xf numFmtId="10" fontId="25" fillId="35" borderId="23" xfId="0" applyNumberFormat="1" applyFont="1" applyFill="1" applyBorder="1" applyAlignment="1" applyProtection="1">
      <alignment vertical="center"/>
      <protection hidden="1"/>
    </xf>
    <xf numFmtId="10" fontId="23" fillId="35" borderId="35" xfId="0" applyNumberFormat="1" applyFont="1" applyFill="1" applyBorder="1" applyAlignment="1">
      <alignment horizontal="center" vertical="center"/>
    </xf>
    <xf numFmtId="44" fontId="29" fillId="35" borderId="12" xfId="0" applyNumberFormat="1" applyFont="1" applyFill="1" applyBorder="1" applyAlignment="1">
      <alignment vertical="center"/>
    </xf>
    <xf numFmtId="44" fontId="29" fillId="35" borderId="0" xfId="0" applyNumberFormat="1" applyFont="1" applyFill="1" applyBorder="1" applyAlignment="1">
      <alignment vertical="center"/>
    </xf>
    <xf numFmtId="176" fontId="23" fillId="35" borderId="0" xfId="0" applyNumberFormat="1" applyFont="1" applyFill="1" applyAlignment="1">
      <alignment horizontal="right" vertical="center"/>
    </xf>
    <xf numFmtId="44" fontId="29" fillId="35" borderId="0" xfId="0" applyNumberFormat="1" applyFont="1" applyFill="1" applyAlignment="1">
      <alignment vertical="center"/>
    </xf>
    <xf numFmtId="44" fontId="29" fillId="35" borderId="0" xfId="0" applyNumberFormat="1" applyFont="1" applyFill="1" applyAlignment="1">
      <alignment horizontal="right" vertical="center"/>
    </xf>
    <xf numFmtId="5" fontId="35" fillId="35" borderId="12" xfId="0" applyNumberFormat="1" applyFont="1" applyFill="1" applyBorder="1" applyAlignment="1" applyProtection="1">
      <alignment vertical="center"/>
      <protection locked="0"/>
    </xf>
    <xf numFmtId="5" fontId="35" fillId="35" borderId="0" xfId="0" applyNumberFormat="1" applyFont="1" applyFill="1" applyBorder="1" applyAlignment="1" applyProtection="1">
      <alignment vertical="center"/>
      <protection locked="0"/>
    </xf>
    <xf numFmtId="10" fontId="27" fillId="35" borderId="0" xfId="0" applyNumberFormat="1" applyFont="1" applyFill="1" applyAlignment="1">
      <alignment horizontal="center" vertical="center"/>
    </xf>
    <xf numFmtId="44" fontId="23" fillId="35" borderId="36" xfId="0" applyNumberFormat="1" applyFont="1" applyFill="1" applyBorder="1" applyAlignment="1">
      <alignment vertical="center"/>
    </xf>
    <xf numFmtId="10" fontId="25" fillId="35" borderId="37" xfId="0" applyNumberFormat="1" applyFont="1" applyFill="1" applyBorder="1" applyAlignment="1">
      <alignment vertical="center"/>
    </xf>
    <xf numFmtId="44" fontId="23" fillId="35" borderId="37" xfId="0" applyNumberFormat="1" applyFont="1" applyFill="1" applyBorder="1" applyAlignment="1">
      <alignment vertical="center"/>
    </xf>
    <xf numFmtId="10" fontId="25" fillId="35" borderId="38" xfId="0" applyNumberFormat="1" applyFont="1" applyFill="1" applyBorder="1" applyAlignment="1">
      <alignment horizontal="center" vertical="center"/>
    </xf>
    <xf numFmtId="0" fontId="23" fillId="35" borderId="0" xfId="0" applyFont="1" applyFill="1" applyBorder="1" applyAlignment="1">
      <alignment vertical="center"/>
    </xf>
    <xf numFmtId="44" fontId="23" fillId="35" borderId="39" xfId="0" applyNumberFormat="1" applyFont="1" applyFill="1" applyBorder="1" applyAlignment="1">
      <alignment vertical="center"/>
    </xf>
    <xf numFmtId="44" fontId="29" fillId="35" borderId="0" xfId="0" applyNumberFormat="1" applyFont="1" applyFill="1" applyBorder="1" applyAlignment="1">
      <alignment horizontal="right" vertical="center"/>
    </xf>
    <xf numFmtId="10" fontId="25" fillId="35" borderId="22" xfId="0" applyNumberFormat="1" applyFont="1" applyFill="1" applyBorder="1" applyAlignment="1">
      <alignment horizontal="center" vertical="center"/>
    </xf>
    <xf numFmtId="44" fontId="36" fillId="35" borderId="0" xfId="0" applyNumberFormat="1" applyFont="1" applyFill="1" applyBorder="1" applyAlignment="1">
      <alignment horizontal="right" vertical="center"/>
    </xf>
    <xf numFmtId="44" fontId="36" fillId="35" borderId="12" xfId="0" applyNumberFormat="1" applyFont="1" applyFill="1" applyBorder="1" applyAlignment="1">
      <alignment vertical="center"/>
    </xf>
    <xf numFmtId="44" fontId="36" fillId="35" borderId="0" xfId="0" applyNumberFormat="1" applyFont="1" applyFill="1" applyBorder="1" applyAlignment="1">
      <alignment vertical="center"/>
    </xf>
    <xf numFmtId="44" fontId="29" fillId="35" borderId="22" xfId="0" applyNumberFormat="1" applyFont="1" applyFill="1" applyBorder="1" applyAlignment="1">
      <alignment horizontal="center" vertical="center"/>
    </xf>
    <xf numFmtId="10" fontId="29" fillId="35" borderId="0" xfId="0" applyNumberFormat="1" applyFont="1" applyFill="1" applyBorder="1" applyAlignment="1">
      <alignment vertical="center"/>
    </xf>
    <xf numFmtId="10" fontId="29" fillId="35" borderId="12" xfId="0" applyNumberFormat="1" applyFont="1" applyFill="1" applyBorder="1" applyAlignment="1">
      <alignment vertical="center"/>
    </xf>
    <xf numFmtId="0" fontId="23" fillId="35" borderId="22" xfId="0" applyFont="1" applyFill="1" applyBorder="1" applyAlignment="1">
      <alignment horizontal="center" vertical="center"/>
    </xf>
    <xf numFmtId="44" fontId="23" fillId="35" borderId="40" xfId="0" applyNumberFormat="1" applyFont="1" applyFill="1" applyBorder="1" applyAlignment="1">
      <alignment vertical="center"/>
    </xf>
    <xf numFmtId="10" fontId="25" fillId="35" borderId="41" xfId="0" applyNumberFormat="1" applyFont="1" applyFill="1" applyBorder="1" applyAlignment="1">
      <alignment vertical="center"/>
    </xf>
    <xf numFmtId="44" fontId="23" fillId="35" borderId="41" xfId="0" applyNumberFormat="1" applyFont="1" applyFill="1" applyBorder="1" applyAlignment="1">
      <alignment vertical="center"/>
    </xf>
    <xf numFmtId="10" fontId="25" fillId="35" borderId="42" xfId="0" applyNumberFormat="1" applyFont="1" applyFill="1" applyBorder="1" applyAlignment="1">
      <alignment horizontal="center" vertical="center"/>
    </xf>
    <xf numFmtId="179" fontId="27" fillId="35" borderId="0" xfId="0" applyNumberFormat="1" applyFont="1" applyFill="1" applyBorder="1" applyAlignment="1" applyProtection="1">
      <alignment vertical="center"/>
      <protection hidden="1"/>
    </xf>
    <xf numFmtId="10" fontId="29" fillId="23" borderId="43" xfId="0" applyNumberFormat="1" applyFont="1" applyFill="1" applyBorder="1" applyAlignment="1">
      <alignment horizontal="center" vertical="center"/>
    </xf>
    <xf numFmtId="44" fontId="23" fillId="4" borderId="0" xfId="0" applyNumberFormat="1" applyFont="1" applyFill="1" applyAlignment="1">
      <alignment vertical="center"/>
    </xf>
    <xf numFmtId="10" fontId="25" fillId="4" borderId="0" xfId="0" applyNumberFormat="1" applyFont="1" applyFill="1" applyAlignment="1">
      <alignment vertical="center"/>
    </xf>
    <xf numFmtId="10" fontId="25" fillId="4" borderId="0" xfId="0" applyNumberFormat="1" applyFont="1" applyFill="1" applyAlignment="1">
      <alignment horizontal="center" vertical="center"/>
    </xf>
    <xf numFmtId="44" fontId="23" fillId="35" borderId="44" xfId="0" applyNumberFormat="1" applyFont="1" applyFill="1" applyBorder="1" applyAlignment="1" applyProtection="1">
      <alignment vertical="center"/>
      <protection hidden="1"/>
    </xf>
    <xf numFmtId="0" fontId="0" fillId="4" borderId="0" xfId="0" applyFill="1" applyAlignment="1">
      <alignment/>
    </xf>
    <xf numFmtId="0" fontId="39" fillId="35" borderId="0" xfId="0" applyFont="1" applyFill="1" applyBorder="1" applyAlignment="1">
      <alignment vertical="center"/>
    </xf>
    <xf numFmtId="0" fontId="136" fillId="35" borderId="0" xfId="0" applyFont="1" applyFill="1" applyAlignment="1">
      <alignment/>
    </xf>
    <xf numFmtId="0" fontId="23" fillId="4" borderId="0" xfId="0" applyFont="1" applyFill="1" applyAlignment="1">
      <alignment vertical="center"/>
    </xf>
    <xf numFmtId="44" fontId="40" fillId="35" borderId="0" xfId="0" applyNumberFormat="1" applyFont="1" applyFill="1" applyAlignment="1">
      <alignment vertical="center"/>
    </xf>
    <xf numFmtId="0" fontId="40" fillId="35" borderId="0" xfId="0" applyFont="1" applyFill="1" applyAlignment="1">
      <alignment vertical="center"/>
    </xf>
    <xf numFmtId="0" fontId="137" fillId="35" borderId="0" xfId="0" applyFont="1" applyFill="1" applyAlignment="1">
      <alignment/>
    </xf>
    <xf numFmtId="0" fontId="67" fillId="41" borderId="0" xfId="0" applyFont="1" applyFill="1" applyAlignment="1">
      <alignment horizontal="left" vertical="center"/>
    </xf>
    <xf numFmtId="0" fontId="2" fillId="41" borderId="0" xfId="0" applyFont="1" applyFill="1" applyAlignment="1">
      <alignment horizontal="center"/>
    </xf>
    <xf numFmtId="0" fontId="2" fillId="41" borderId="0" xfId="0" applyFont="1" applyFill="1" applyAlignment="1">
      <alignment/>
    </xf>
    <xf numFmtId="0" fontId="67" fillId="41" borderId="0" xfId="0" applyFont="1" applyFill="1" applyAlignment="1">
      <alignment horizontal="left"/>
    </xf>
    <xf numFmtId="0" fontId="4" fillId="41" borderId="0" xfId="44" applyFont="1" applyFill="1" applyBorder="1" applyAlignment="1" applyProtection="1">
      <alignment/>
      <protection/>
    </xf>
    <xf numFmtId="0" fontId="81" fillId="41" borderId="0" xfId="0" applyFont="1" applyFill="1" applyAlignment="1">
      <alignment/>
    </xf>
    <xf numFmtId="0" fontId="82" fillId="41" borderId="0" xfId="0" applyFont="1" applyFill="1" applyAlignment="1">
      <alignment/>
    </xf>
    <xf numFmtId="0" fontId="82" fillId="41" borderId="0" xfId="0" applyFont="1" applyFill="1" applyAlignment="1">
      <alignment vertical="center"/>
    </xf>
    <xf numFmtId="0" fontId="68" fillId="0" borderId="0" xfId="0" applyFont="1" applyBorder="1" applyAlignment="1">
      <alignment horizontal="center"/>
    </xf>
    <xf numFmtId="0" fontId="113" fillId="0" borderId="0" xfId="44" applyFont="1" applyBorder="1" applyAlignment="1" applyProtection="1">
      <alignment horizontal="center" vertical="center"/>
      <protection/>
    </xf>
    <xf numFmtId="9" fontId="0" fillId="0" borderId="0" xfId="0" applyNumberFormat="1" applyAlignment="1">
      <alignment horizontal="left"/>
    </xf>
    <xf numFmtId="49" fontId="16" fillId="35" borderId="0" xfId="0" applyNumberFormat="1" applyFont="1" applyFill="1" applyBorder="1" applyAlignment="1">
      <alignment vertical="top"/>
    </xf>
    <xf numFmtId="0" fontId="0" fillId="0" borderId="0" xfId="0" applyAlignment="1">
      <alignment/>
    </xf>
    <xf numFmtId="0" fontId="22" fillId="0" borderId="0" xfId="0" applyFont="1" applyBorder="1" applyAlignment="1">
      <alignment horizontal="center"/>
    </xf>
    <xf numFmtId="0" fontId="103" fillId="0" borderId="0" xfId="44" applyAlignment="1" applyProtection="1">
      <alignment horizontal="center" vertical="top"/>
      <protection/>
    </xf>
    <xf numFmtId="0" fontId="0" fillId="0" borderId="45" xfId="44" applyNumberFormat="1" applyFont="1" applyBorder="1" applyAlignment="1" applyProtection="1">
      <alignment horizontal="center" vertical="center"/>
      <protection/>
    </xf>
    <xf numFmtId="0" fontId="0" fillId="0" borderId="46" xfId="44" applyNumberFormat="1" applyFont="1" applyBorder="1" applyAlignment="1" applyProtection="1">
      <alignment horizontal="center" vertical="center"/>
      <protection/>
    </xf>
    <xf numFmtId="0" fontId="0" fillId="0" borderId="47" xfId="44" applyNumberFormat="1" applyFont="1" applyBorder="1" applyAlignment="1" applyProtection="1">
      <alignment horizontal="center" vertical="center"/>
      <protection/>
    </xf>
    <xf numFmtId="0" fontId="138" fillId="0" borderId="45" xfId="0" applyFont="1" applyBorder="1" applyAlignment="1">
      <alignment horizontal="center" vertical="center"/>
    </xf>
    <xf numFmtId="0" fontId="138" fillId="0" borderId="46" xfId="0" applyFont="1" applyBorder="1" applyAlignment="1">
      <alignment horizontal="center" vertical="center"/>
    </xf>
    <xf numFmtId="0" fontId="138" fillId="0" borderId="47" xfId="0" applyFont="1" applyBorder="1" applyAlignment="1">
      <alignment horizontal="center" vertical="center"/>
    </xf>
    <xf numFmtId="0" fontId="65" fillId="0" borderId="0" xfId="0" applyFont="1" applyAlignment="1">
      <alignment horizontal="center" vertical="center"/>
    </xf>
    <xf numFmtId="0" fontId="65" fillId="0" borderId="48" xfId="0" applyFont="1" applyBorder="1" applyAlignment="1">
      <alignment horizontal="center" vertical="center"/>
    </xf>
    <xf numFmtId="0" fontId="0" fillId="0" borderId="45" xfId="44" applyFont="1" applyBorder="1" applyAlignment="1" applyProtection="1">
      <alignment horizontal="center" vertical="center" wrapText="1"/>
      <protection/>
    </xf>
    <xf numFmtId="0" fontId="0" fillId="0" borderId="46" xfId="44" applyFont="1" applyBorder="1" applyAlignment="1" applyProtection="1">
      <alignment horizontal="center" vertical="center" wrapText="1"/>
      <protection/>
    </xf>
    <xf numFmtId="0" fontId="0" fillId="0" borderId="47" xfId="44" applyFont="1" applyBorder="1" applyAlignment="1" applyProtection="1">
      <alignment horizontal="center" vertical="center" wrapText="1"/>
      <protection/>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6" fillId="0" borderId="0" xfId="0" applyFont="1" applyAlignment="1">
      <alignment horizontal="center"/>
    </xf>
    <xf numFmtId="0" fontId="22" fillId="0" borderId="0" xfId="0" applyFont="1" applyBorder="1" applyAlignment="1">
      <alignment horizontal="center"/>
    </xf>
    <xf numFmtId="0" fontId="10" fillId="0" borderId="0" xfId="0" applyFont="1" applyAlignment="1">
      <alignment horizontal="center"/>
    </xf>
    <xf numFmtId="0" fontId="127" fillId="35" borderId="0" xfId="0" applyFont="1" applyFill="1" applyBorder="1" applyAlignment="1">
      <alignment horizontal="right" vertical="top"/>
    </xf>
    <xf numFmtId="0" fontId="6" fillId="35" borderId="0" xfId="0" applyFont="1" applyFill="1" applyBorder="1" applyAlignment="1">
      <alignment horizontal="right" vertical="center"/>
    </xf>
    <xf numFmtId="0" fontId="2" fillId="0" borderId="0" xfId="0" applyFont="1" applyBorder="1" applyAlignment="1">
      <alignment horizontal="center"/>
    </xf>
    <xf numFmtId="0" fontId="2" fillId="35" borderId="0" xfId="0" applyFont="1" applyFill="1" applyBorder="1" applyAlignment="1">
      <alignment horizontal="left" vertical="center"/>
    </xf>
    <xf numFmtId="0" fontId="3" fillId="42" borderId="0" xfId="0" applyFont="1" applyFill="1" applyAlignment="1">
      <alignment horizontal="center" vertical="center"/>
    </xf>
    <xf numFmtId="0" fontId="138" fillId="0" borderId="16" xfId="0" applyFont="1" applyBorder="1" applyAlignment="1">
      <alignment horizontal="center" vertical="center"/>
    </xf>
    <xf numFmtId="0" fontId="138" fillId="0" borderId="49" xfId="0" applyFont="1" applyBorder="1" applyAlignment="1">
      <alignment horizontal="center" vertical="center"/>
    </xf>
    <xf numFmtId="0" fontId="138" fillId="0" borderId="19" xfId="0" applyFont="1" applyBorder="1" applyAlignment="1">
      <alignment horizontal="center" vertical="center"/>
    </xf>
    <xf numFmtId="14" fontId="2" fillId="0" borderId="0" xfId="0" applyNumberFormat="1" applyFont="1" applyBorder="1" applyAlignment="1">
      <alignment horizontal="center"/>
    </xf>
    <xf numFmtId="0" fontId="2" fillId="35" borderId="0" xfId="0" applyFont="1" applyFill="1" applyBorder="1" applyAlignment="1">
      <alignment horizontal="center" vertical="center"/>
    </xf>
    <xf numFmtId="0" fontId="2" fillId="37" borderId="0" xfId="0" applyFont="1" applyFill="1" applyBorder="1" applyAlignment="1">
      <alignment horizontal="center" vertical="center"/>
    </xf>
    <xf numFmtId="0" fontId="121" fillId="0" borderId="45" xfId="0" applyFont="1" applyBorder="1" applyAlignment="1">
      <alignment horizontal="center" vertical="center"/>
    </xf>
    <xf numFmtId="0" fontId="121" fillId="0" borderId="46" xfId="0" applyFont="1" applyBorder="1" applyAlignment="1">
      <alignment horizontal="center" vertical="center"/>
    </xf>
    <xf numFmtId="0" fontId="121" fillId="0" borderId="47" xfId="0" applyFont="1" applyBorder="1" applyAlignment="1">
      <alignment horizontal="center" vertical="center"/>
    </xf>
    <xf numFmtId="0" fontId="2" fillId="37" borderId="0" xfId="0" applyNumberFormat="1" applyFont="1" applyFill="1" applyBorder="1" applyAlignment="1">
      <alignment horizontal="center" vertical="center"/>
    </xf>
    <xf numFmtId="0" fontId="10" fillId="0" borderId="0" xfId="0" applyFont="1" applyAlignment="1">
      <alignment horizontal="right"/>
    </xf>
    <xf numFmtId="0" fontId="2" fillId="0" borderId="0" xfId="0" applyFont="1" applyAlignment="1">
      <alignment horizontal="center" vertical="center"/>
    </xf>
    <xf numFmtId="14" fontId="2" fillId="0" borderId="45" xfId="0" applyNumberFormat="1" applyFont="1" applyBorder="1" applyAlignment="1">
      <alignment horizontal="center" vertical="center"/>
    </xf>
    <xf numFmtId="0" fontId="75" fillId="0" borderId="0" xfId="0" applyFont="1" applyBorder="1" applyAlignment="1">
      <alignment horizontal="center"/>
    </xf>
    <xf numFmtId="0" fontId="4" fillId="0" borderId="45" xfId="44" applyFont="1" applyBorder="1" applyAlignment="1" applyProtection="1">
      <alignment horizontal="center" vertical="center"/>
      <protection/>
    </xf>
    <xf numFmtId="0" fontId="4" fillId="0" borderId="46" xfId="44" applyFont="1" applyBorder="1" applyAlignment="1" applyProtection="1">
      <alignment horizontal="center" vertical="center"/>
      <protection/>
    </xf>
    <xf numFmtId="0" fontId="4" fillId="0" borderId="47" xfId="44" applyFont="1" applyBorder="1" applyAlignment="1" applyProtection="1">
      <alignment horizontal="center" vertical="center"/>
      <protection/>
    </xf>
    <xf numFmtId="0" fontId="2" fillId="35" borderId="0" xfId="0" applyFont="1" applyFill="1" applyBorder="1" applyAlignment="1">
      <alignment horizontal="center"/>
    </xf>
    <xf numFmtId="0" fontId="40" fillId="35" borderId="0" xfId="0" applyFont="1" applyFill="1" applyBorder="1" applyAlignment="1">
      <alignment horizontal="center" vertical="center"/>
    </xf>
    <xf numFmtId="0" fontId="139" fillId="35" borderId="0" xfId="0" applyFont="1" applyFill="1" applyAlignment="1">
      <alignment horizontal="center" vertical="center"/>
    </xf>
    <xf numFmtId="44" fontId="140" fillId="4" borderId="0" xfId="0" applyNumberFormat="1" applyFont="1" applyFill="1" applyAlignment="1">
      <alignment horizontal="center" vertical="center"/>
    </xf>
    <xf numFmtId="5" fontId="141" fillId="4" borderId="0" xfId="0" applyNumberFormat="1" applyFont="1" applyFill="1" applyAlignment="1">
      <alignment horizontal="center" vertical="center"/>
    </xf>
    <xf numFmtId="44" fontId="34" fillId="35" borderId="0" xfId="0" applyNumberFormat="1" applyFont="1" applyFill="1" applyAlignment="1">
      <alignment horizontal="center" vertical="center"/>
    </xf>
    <xf numFmtId="10" fontId="26" fillId="35" borderId="0" xfId="0" applyNumberFormat="1" applyFont="1" applyFill="1" applyBorder="1" applyAlignment="1">
      <alignment horizontal="center" vertical="center"/>
    </xf>
    <xf numFmtId="44" fontId="142" fillId="22" borderId="27" xfId="0" applyNumberFormat="1" applyFont="1" applyFill="1" applyBorder="1" applyAlignment="1">
      <alignment horizontal="center" vertical="center"/>
    </xf>
    <xf numFmtId="44" fontId="142" fillId="22" borderId="50" xfId="0" applyNumberFormat="1" applyFont="1" applyFill="1" applyBorder="1" applyAlignment="1">
      <alignment horizontal="center" vertical="center"/>
    </xf>
    <xf numFmtId="44" fontId="142" fillId="22" borderId="28" xfId="0" applyNumberFormat="1" applyFont="1" applyFill="1" applyBorder="1" applyAlignment="1">
      <alignment horizontal="center" vertical="center"/>
    </xf>
    <xf numFmtId="44" fontId="142" fillId="22" borderId="31" xfId="0" applyNumberFormat="1" applyFont="1" applyFill="1" applyBorder="1" applyAlignment="1">
      <alignment horizontal="center" vertical="center"/>
    </xf>
    <xf numFmtId="44" fontId="142" fillId="22" borderId="51" xfId="0" applyNumberFormat="1" applyFont="1" applyFill="1" applyBorder="1" applyAlignment="1">
      <alignment horizontal="center" vertical="center"/>
    </xf>
    <xf numFmtId="44" fontId="142" fillId="22" borderId="32" xfId="0" applyNumberFormat="1" applyFont="1" applyFill="1" applyBorder="1" applyAlignment="1">
      <alignment horizontal="center" vertical="center"/>
    </xf>
    <xf numFmtId="44" fontId="29" fillId="35" borderId="0" xfId="0" applyNumberFormat="1" applyFont="1" applyFill="1" applyAlignment="1">
      <alignment horizontal="right" vertical="center"/>
    </xf>
    <xf numFmtId="10" fontId="29" fillId="23" borderId="52" xfId="0" applyNumberFormat="1" applyFont="1" applyFill="1" applyBorder="1" applyAlignment="1" applyProtection="1">
      <alignment horizontal="center" vertical="center"/>
      <protection hidden="1"/>
    </xf>
    <xf numFmtId="10" fontId="29" fillId="23" borderId="53" xfId="0" applyNumberFormat="1" applyFont="1" applyFill="1" applyBorder="1" applyAlignment="1" applyProtection="1">
      <alignment horizontal="center" vertical="center"/>
      <protection hidden="1"/>
    </xf>
    <xf numFmtId="0" fontId="29" fillId="35" borderId="37" xfId="0" applyFont="1" applyFill="1" applyBorder="1" applyAlignment="1">
      <alignment horizontal="right" vertical="center"/>
    </xf>
    <xf numFmtId="0" fontId="29" fillId="35" borderId="54" xfId="0" applyFont="1" applyFill="1" applyBorder="1" applyAlignment="1">
      <alignment horizontal="right" vertical="center"/>
    </xf>
    <xf numFmtId="44" fontId="143" fillId="4" borderId="0" xfId="0" applyNumberFormat="1" applyFont="1" applyFill="1" applyAlignment="1">
      <alignment horizontal="center" vertical="center"/>
    </xf>
    <xf numFmtId="5" fontId="144" fillId="4" borderId="0" xfId="0" applyNumberFormat="1" applyFont="1" applyFill="1" applyAlignment="1">
      <alignment horizontal="center" vertical="center"/>
    </xf>
    <xf numFmtId="44" fontId="144" fillId="4" borderId="0" xfId="0" applyNumberFormat="1" applyFont="1" applyFill="1" applyAlignment="1">
      <alignment horizontal="center" vertical="center"/>
    </xf>
    <xf numFmtId="5" fontId="145" fillId="4" borderId="0" xfId="0" applyNumberFormat="1" applyFont="1" applyFill="1" applyAlignment="1">
      <alignment horizontal="center" vertical="center"/>
    </xf>
    <xf numFmtId="44" fontId="23" fillId="4" borderId="0" xfId="0" applyNumberFormat="1" applyFont="1" applyFill="1" applyAlignment="1">
      <alignment horizontal="center" vertical="center"/>
    </xf>
    <xf numFmtId="5" fontId="38" fillId="4" borderId="0" xfId="0" applyNumberFormat="1" applyFont="1" applyFill="1" applyAlignment="1">
      <alignment horizontal="center" vertical="center"/>
    </xf>
    <xf numFmtId="44" fontId="38" fillId="4" borderId="0" xfId="0" applyNumberFormat="1" applyFont="1" applyFill="1" applyAlignment="1">
      <alignment horizontal="center" vertical="center"/>
    </xf>
    <xf numFmtId="0" fontId="12" fillId="0" borderId="0" xfId="0" applyFont="1" applyAlignment="1">
      <alignment horizontal="center" vertical="center"/>
    </xf>
    <xf numFmtId="0" fontId="12" fillId="0" borderId="30" xfId="0" applyFont="1" applyBorder="1" applyAlignment="1">
      <alignment horizontal="center" vertical="center"/>
    </xf>
    <xf numFmtId="0" fontId="0" fillId="0" borderId="0" xfId="0" applyAlignment="1">
      <alignment horizontal="center" vertical="center"/>
    </xf>
    <xf numFmtId="0" fontId="146" fillId="0" borderId="0" xfId="0" applyFont="1" applyAlignment="1">
      <alignment/>
    </xf>
    <xf numFmtId="0" fontId="0" fillId="0" borderId="0" xfId="0" applyAlignment="1">
      <alignment/>
    </xf>
    <xf numFmtId="0" fontId="147" fillId="0" borderId="0" xfId="0" applyFont="1" applyAlignment="1">
      <alignment horizontal="center" vertical="center"/>
    </xf>
    <xf numFmtId="175" fontId="69" fillId="0" borderId="14" xfId="0" applyNumberFormat="1" applyFont="1" applyBorder="1" applyAlignment="1">
      <alignment horizontal="center"/>
    </xf>
    <xf numFmtId="44" fontId="148" fillId="35" borderId="0" xfId="0" applyNumberFormat="1" applyFont="1" applyFill="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ill>
        <patternFill>
          <bgColor theme="5" tint="0.3999499976634979"/>
        </patternFill>
      </fill>
    </dxf>
    <dxf>
      <fill>
        <patternFill>
          <bgColor theme="5" tint="0.3999499976634979"/>
        </patternFill>
      </fill>
    </dxf>
    <dxf>
      <font>
        <color rgb="FF9C0006"/>
      </font>
      <fill>
        <patternFill>
          <bgColor rgb="FFFFC7CE"/>
        </patternFill>
      </fill>
    </dxf>
    <dxf>
      <fill>
        <patternFill>
          <bgColor theme="3" tint="0.7999799847602844"/>
        </patternFill>
      </fill>
    </dxf>
    <dxf>
      <fill>
        <patternFill>
          <bgColor theme="3" tint="0.5999600291252136"/>
        </patternFill>
      </fill>
    </dxf>
    <dxf>
      <fill>
        <patternFill>
          <bgColor theme="5" tint="0.3999499976634979"/>
        </patternFill>
      </fill>
    </dxf>
    <dxf>
      <fill>
        <patternFill>
          <bgColor theme="5" tint="0.3999499976634979"/>
        </patternFill>
      </fill>
    </dxf>
    <dxf>
      <fill>
        <patternFill>
          <bgColor theme="3" tint="0.7999799847602844"/>
        </patternFill>
      </fill>
    </dxf>
    <dxf>
      <fill>
        <patternFill>
          <bgColor theme="3" tint="0.5999600291252136"/>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6" tint="0.7999799847602844"/>
      </font>
      <fill>
        <patternFill>
          <bgColor theme="6" tint="0.7999799847602844"/>
        </patternFill>
      </fill>
    </dxf>
    <dxf>
      <font>
        <color theme="6" tint="0.7999799847602844"/>
      </font>
      <fill>
        <patternFill>
          <bgColor theme="6" tint="0.7999799847602844"/>
        </patternFill>
      </fill>
    </dxf>
    <dxf>
      <font>
        <color theme="6" tint="0.7999799847602844"/>
      </font>
      <fill>
        <patternFill>
          <bgColor theme="6" tint="0.7999799847602844"/>
        </patternFill>
      </fill>
    </dxf>
    <dxf>
      <font>
        <color theme="6" tint="0.7999799847602844"/>
      </font>
      <fill>
        <patternFill>
          <bgColor theme="6" tint="0.7999799847602844"/>
        </patternFill>
      </fill>
    </dxf>
    <dxf>
      <font>
        <color theme="6" tint="0.7999799847602844"/>
      </font>
      <fill>
        <patternFill>
          <bgColor theme="6" tint="0.7999799847602844"/>
        </patternFill>
      </fill>
    </dxf>
    <dxf>
      <font>
        <color theme="6" tint="0.7999799847602844"/>
      </font>
      <fill>
        <patternFill>
          <bgColor theme="6" tint="0.7999799847602844"/>
        </patternFill>
      </fill>
    </dxf>
    <dxf>
      <font>
        <color theme="6" tint="0.7999799847602844"/>
      </font>
      <fill>
        <patternFill>
          <bgColor theme="6" tint="0.7999799847602844"/>
        </patternFill>
      </fill>
    </dxf>
    <dxf>
      <font>
        <color theme="6" tint="0.7999799847602844"/>
      </font>
      <fill>
        <patternFill>
          <bgColor theme="6" tint="0.7999799847602844"/>
        </patternFill>
      </fill>
    </dxf>
    <dxf>
      <font>
        <color rgb="FF9C0006"/>
      </font>
      <fill>
        <patternFill>
          <bgColor rgb="FFFFC7CE"/>
        </patternFill>
      </fill>
      <border/>
    </dxf>
    <dxf>
      <font>
        <color theme="6" tint="0.7999799847602844"/>
      </font>
      <fill>
        <patternFill>
          <bgColor theme="6" tint="0.7999799847602844"/>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2</xdr:row>
      <xdr:rowOff>114300</xdr:rowOff>
    </xdr:from>
    <xdr:to>
      <xdr:col>17</xdr:col>
      <xdr:colOff>304800</xdr:colOff>
      <xdr:row>3</xdr:row>
      <xdr:rowOff>76200</xdr:rowOff>
    </xdr:to>
    <xdr:sp>
      <xdr:nvSpPr>
        <xdr:cNvPr id="1" name="ZoneTexte 11"/>
        <xdr:cNvSpPr txBox="1">
          <a:spLocks noChangeArrowheads="1"/>
        </xdr:cNvSpPr>
      </xdr:nvSpPr>
      <xdr:spPr>
        <a:xfrm>
          <a:off x="5600700" y="438150"/>
          <a:ext cx="140970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Prise </a:t>
          </a:r>
          <a:r>
            <a:rPr lang="en-US" cap="none" sz="1100" b="0" i="0" u="none" baseline="0">
              <a:solidFill>
                <a:srgbClr val="000000"/>
              </a:solidFill>
              <a:latin typeface="Calibri"/>
              <a:ea typeface="Calibri"/>
              <a:cs typeface="Calibri"/>
            </a:rPr>
            <a:t>par : </a:t>
          </a:r>
        </a:p>
      </xdr:txBody>
    </xdr:sp>
    <xdr:clientData/>
  </xdr:twoCellAnchor>
  <xdr:twoCellAnchor>
    <xdr:from>
      <xdr:col>5</xdr:col>
      <xdr:colOff>314325</xdr:colOff>
      <xdr:row>43</xdr:row>
      <xdr:rowOff>161925</xdr:rowOff>
    </xdr:from>
    <xdr:to>
      <xdr:col>7</xdr:col>
      <xdr:colOff>209550</xdr:colOff>
      <xdr:row>47</xdr:row>
      <xdr:rowOff>85725</xdr:rowOff>
    </xdr:to>
    <xdr:sp>
      <xdr:nvSpPr>
        <xdr:cNvPr id="2" name="ZoneTexte 38"/>
        <xdr:cNvSpPr txBox="1">
          <a:spLocks noChangeArrowheads="1"/>
        </xdr:cNvSpPr>
      </xdr:nvSpPr>
      <xdr:spPr>
        <a:xfrm>
          <a:off x="2990850" y="7286625"/>
          <a:ext cx="866775" cy="609600"/>
        </a:xfrm>
        <a:prstGeom prst="rect">
          <a:avLst/>
        </a:prstGeom>
        <a:solidFill>
          <a:srgbClr val="FFFFFF"/>
        </a:solidFill>
        <a:ln w="9525" cmpd="sng">
          <a:noFill/>
        </a:ln>
      </xdr:spPr>
      <xdr:txBody>
        <a:bodyPr vertOverflow="clip" wrap="square" anchor="ctr"/>
        <a:p>
          <a:pPr algn="ctr">
            <a:defRPr/>
          </a:pPr>
          <a:r>
            <a:rPr lang="en-US" cap="none" sz="3600" b="1" i="0" u="none" baseline="0">
              <a:solidFill>
                <a:srgbClr val="808080"/>
              </a:solidFill>
              <a:latin typeface="Calibri"/>
              <a:ea typeface="Calibri"/>
              <a:cs typeface="Calibri"/>
            </a:rPr>
            <a:t>OU</a:t>
          </a:r>
        </a:p>
      </xdr:txBody>
    </xdr:sp>
    <xdr:clientData/>
  </xdr:twoCellAnchor>
  <xdr:twoCellAnchor>
    <xdr:from>
      <xdr:col>7</xdr:col>
      <xdr:colOff>180975</xdr:colOff>
      <xdr:row>47</xdr:row>
      <xdr:rowOff>152400</xdr:rowOff>
    </xdr:from>
    <xdr:to>
      <xdr:col>20</xdr:col>
      <xdr:colOff>495300</xdr:colOff>
      <xdr:row>52</xdr:row>
      <xdr:rowOff>9525</xdr:rowOff>
    </xdr:to>
    <xdr:sp>
      <xdr:nvSpPr>
        <xdr:cNvPr id="3" name="ZoneTexte 43"/>
        <xdr:cNvSpPr txBox="1">
          <a:spLocks noChangeArrowheads="1"/>
        </xdr:cNvSpPr>
      </xdr:nvSpPr>
      <xdr:spPr>
        <a:xfrm>
          <a:off x="3829050" y="7962900"/>
          <a:ext cx="4343400" cy="714375"/>
        </a:xfrm>
        <a:prstGeom prst="rect">
          <a:avLst/>
        </a:prstGeom>
        <a:solidFill>
          <a:srgbClr val="FFFFFF"/>
        </a:solidFill>
        <a:ln w="9525" cmpd="sng">
          <a:solidFill>
            <a:srgbClr val="EEECE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lié  </a:t>
          </a:r>
        </a:p>
      </xdr:txBody>
    </xdr:sp>
    <xdr:clientData/>
  </xdr:twoCellAnchor>
  <xdr:twoCellAnchor>
    <xdr:from>
      <xdr:col>3</xdr:col>
      <xdr:colOff>161925</xdr:colOff>
      <xdr:row>75</xdr:row>
      <xdr:rowOff>152400</xdr:rowOff>
    </xdr:from>
    <xdr:to>
      <xdr:col>5</xdr:col>
      <xdr:colOff>400050</xdr:colOff>
      <xdr:row>75</xdr:row>
      <xdr:rowOff>152400</xdr:rowOff>
    </xdr:to>
    <xdr:sp>
      <xdr:nvSpPr>
        <xdr:cNvPr id="4" name="Connecteur droit avec flèche 7"/>
        <xdr:cNvSpPr>
          <a:spLocks/>
        </xdr:cNvSpPr>
      </xdr:nvSpPr>
      <xdr:spPr>
        <a:xfrm>
          <a:off x="2009775" y="12830175"/>
          <a:ext cx="1066800" cy="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161925</xdr:colOff>
      <xdr:row>76</xdr:row>
      <xdr:rowOff>123825</xdr:rowOff>
    </xdr:from>
    <xdr:to>
      <xdr:col>5</xdr:col>
      <xdr:colOff>400050</xdr:colOff>
      <xdr:row>76</xdr:row>
      <xdr:rowOff>123825</xdr:rowOff>
    </xdr:to>
    <xdr:sp>
      <xdr:nvSpPr>
        <xdr:cNvPr id="5" name="Connecteur droit avec flèche 39"/>
        <xdr:cNvSpPr>
          <a:spLocks/>
        </xdr:cNvSpPr>
      </xdr:nvSpPr>
      <xdr:spPr>
        <a:xfrm>
          <a:off x="2009775" y="13068300"/>
          <a:ext cx="1066800" cy="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47625</xdr:colOff>
      <xdr:row>24</xdr:row>
      <xdr:rowOff>95250</xdr:rowOff>
    </xdr:from>
    <xdr:to>
      <xdr:col>20</xdr:col>
      <xdr:colOff>428625</xdr:colOff>
      <xdr:row>32</xdr:row>
      <xdr:rowOff>9525</xdr:rowOff>
    </xdr:to>
    <xdr:sp>
      <xdr:nvSpPr>
        <xdr:cNvPr id="6" name="ZoneTexte 1"/>
        <xdr:cNvSpPr txBox="1">
          <a:spLocks noChangeArrowheads="1"/>
        </xdr:cNvSpPr>
      </xdr:nvSpPr>
      <xdr:spPr>
        <a:xfrm rot="16200000">
          <a:off x="7724775" y="4105275"/>
          <a:ext cx="381000"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TACHES</a:t>
          </a:r>
        </a:p>
      </xdr:txBody>
    </xdr:sp>
    <xdr:clientData/>
  </xdr:twoCellAnchor>
  <xdr:twoCellAnchor>
    <xdr:from>
      <xdr:col>1</xdr:col>
      <xdr:colOff>28575</xdr:colOff>
      <xdr:row>24</xdr:row>
      <xdr:rowOff>104775</xdr:rowOff>
    </xdr:from>
    <xdr:to>
      <xdr:col>19</xdr:col>
      <xdr:colOff>514350</xdr:colOff>
      <xdr:row>32</xdr:row>
      <xdr:rowOff>19050</xdr:rowOff>
    </xdr:to>
    <xdr:sp>
      <xdr:nvSpPr>
        <xdr:cNvPr id="7" name="ZoneTexte 2"/>
        <xdr:cNvSpPr txBox="1">
          <a:spLocks noChangeArrowheads="1"/>
        </xdr:cNvSpPr>
      </xdr:nvSpPr>
      <xdr:spPr>
        <a:xfrm>
          <a:off x="304800" y="4114800"/>
          <a:ext cx="7362825" cy="1085850"/>
        </a:xfrm>
        <a:prstGeom prst="rect">
          <a:avLst/>
        </a:prstGeom>
        <a:solidFill>
          <a:srgbClr val="FFFFFF"/>
        </a:solidFill>
        <a:ln w="25400"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Tâches : </a:t>
          </a:r>
          <a:r>
            <a:rPr lang="en-US" cap="none" sz="1100" b="0" i="0" u="none" baseline="0">
              <a:solidFill>
                <a:srgbClr val="000000"/>
              </a:solidFill>
              <a:latin typeface="Calibri"/>
              <a:ea typeface="Calibri"/>
              <a:cs typeface="Calibri"/>
            </a:rPr>
            <a:t> </a:t>
          </a:r>
        </a:p>
      </xdr:txBody>
    </xdr:sp>
    <xdr:clientData/>
  </xdr:twoCellAnchor>
  <xdr:twoCellAnchor>
    <xdr:from>
      <xdr:col>17</xdr:col>
      <xdr:colOff>57150</xdr:colOff>
      <xdr:row>76</xdr:row>
      <xdr:rowOff>123825</xdr:rowOff>
    </xdr:from>
    <xdr:to>
      <xdr:col>17</xdr:col>
      <xdr:colOff>200025</xdr:colOff>
      <xdr:row>76</xdr:row>
      <xdr:rowOff>123825</xdr:rowOff>
    </xdr:to>
    <xdr:sp>
      <xdr:nvSpPr>
        <xdr:cNvPr id="8" name="Connecteur droit avec flèche 40"/>
        <xdr:cNvSpPr>
          <a:spLocks/>
        </xdr:cNvSpPr>
      </xdr:nvSpPr>
      <xdr:spPr>
        <a:xfrm>
          <a:off x="6762750" y="13068300"/>
          <a:ext cx="142875" cy="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742950</xdr:colOff>
      <xdr:row>10</xdr:row>
      <xdr:rowOff>85725</xdr:rowOff>
    </xdr:from>
    <xdr:to>
      <xdr:col>25</xdr:col>
      <xdr:colOff>314325</xdr:colOff>
      <xdr:row>15</xdr:row>
      <xdr:rowOff>200025</xdr:rowOff>
    </xdr:to>
    <xdr:sp>
      <xdr:nvSpPr>
        <xdr:cNvPr id="9" name="Légende encadrée 1 12"/>
        <xdr:cNvSpPr>
          <a:spLocks/>
        </xdr:cNvSpPr>
      </xdr:nvSpPr>
      <xdr:spPr>
        <a:xfrm>
          <a:off x="9363075" y="1504950"/>
          <a:ext cx="1857375" cy="885825"/>
        </a:xfrm>
        <a:prstGeom prst="borderCallout1">
          <a:avLst>
            <a:gd name="adj1" fmla="val -115402"/>
            <a:gd name="adj2" fmla="val -11405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La date s'inscrit automatiquement.</a:t>
          </a:r>
        </a:p>
      </xdr:txBody>
    </xdr:sp>
    <xdr:clientData/>
  </xdr:twoCellAnchor>
  <xdr:twoCellAnchor>
    <xdr:from>
      <xdr:col>23</xdr:col>
      <xdr:colOff>742950</xdr:colOff>
      <xdr:row>1</xdr:row>
      <xdr:rowOff>238125</xdr:rowOff>
    </xdr:from>
    <xdr:to>
      <xdr:col>26</xdr:col>
      <xdr:colOff>314325</xdr:colOff>
      <xdr:row>8</xdr:row>
      <xdr:rowOff>161925</xdr:rowOff>
    </xdr:to>
    <xdr:sp>
      <xdr:nvSpPr>
        <xdr:cNvPr id="10" name="Légende encadrée 1 40"/>
        <xdr:cNvSpPr>
          <a:spLocks/>
        </xdr:cNvSpPr>
      </xdr:nvSpPr>
      <xdr:spPr>
        <a:xfrm>
          <a:off x="10125075" y="276225"/>
          <a:ext cx="1857375" cy="885825"/>
        </a:xfrm>
        <a:prstGeom prst="borderCallout1">
          <a:avLst>
            <a:gd name="adj1" fmla="val -154379"/>
            <a:gd name="adj2" fmla="val -1512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Indiquez la liste des salariés en feuille 2</a:t>
          </a:r>
        </a:p>
      </xdr:txBody>
    </xdr:sp>
    <xdr:clientData/>
  </xdr:twoCellAnchor>
  <xdr:twoCellAnchor>
    <xdr:from>
      <xdr:col>22</xdr:col>
      <xdr:colOff>409575</xdr:colOff>
      <xdr:row>49</xdr:row>
      <xdr:rowOff>152400</xdr:rowOff>
    </xdr:from>
    <xdr:to>
      <xdr:col>28</xdr:col>
      <xdr:colOff>685800</xdr:colOff>
      <xdr:row>61</xdr:row>
      <xdr:rowOff>190500</xdr:rowOff>
    </xdr:to>
    <xdr:sp>
      <xdr:nvSpPr>
        <xdr:cNvPr id="11" name="Légende encadrée 1 44"/>
        <xdr:cNvSpPr>
          <a:spLocks/>
        </xdr:cNvSpPr>
      </xdr:nvSpPr>
      <xdr:spPr>
        <a:xfrm>
          <a:off x="9029700" y="8296275"/>
          <a:ext cx="4848225" cy="1609725"/>
        </a:xfrm>
        <a:prstGeom prst="borderCallout1">
          <a:avLst>
            <a:gd name="adj1" fmla="val -196921"/>
            <a:gd name="adj2" fmla="val 6297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La</a:t>
          </a:r>
          <a:r>
            <a:rPr lang="en-US" cap="none" sz="1100" b="0" i="0" u="none" baseline="0">
              <a:solidFill>
                <a:srgbClr val="FFFFFF"/>
              </a:solidFill>
              <a:latin typeface="Calibri"/>
              <a:ea typeface="Calibri"/>
              <a:cs typeface="Calibri"/>
            </a:rPr>
            <a:t> partie ELEMENTS DE SALAIRE permet de transformer n'importe qu'elle rémunération en taux horaire.
Dans cette exemple l'intérimaire est payé 2500 par mois sur 14 mois (a ajouter sur son fixe) sur une base de 37 heures (les deux heures sup sont bien calculés dasn le taux horaire)
</a:t>
          </a:r>
          <a:r>
            <a:rPr lang="en-US" cap="none" sz="1100" b="1" i="0" u="none" baseline="0">
              <a:solidFill>
                <a:srgbClr val="FFFFFF"/>
              </a:solidFill>
              <a:latin typeface="Calibri"/>
              <a:ea typeface="Calibri"/>
              <a:cs typeface="Calibri"/>
            </a:rPr>
            <a:t>TAUX HORAIRE</a:t>
          </a:r>
          <a:r>
            <a:rPr lang="en-US" cap="none" sz="1100" b="0" i="0" u="none" baseline="0">
              <a:solidFill>
                <a:srgbClr val="FFFFFF"/>
              </a:solidFill>
              <a:latin typeface="Calibri"/>
              <a:ea typeface="Calibri"/>
              <a:cs typeface="Calibri"/>
            </a:rPr>
            <a:t>: 15,38
</a:t>
          </a:r>
          <a:r>
            <a:rPr lang="en-US" cap="none" sz="1100" b="1" i="0" u="none" baseline="0">
              <a:solidFill>
                <a:srgbClr val="FFFFFF"/>
              </a:solidFill>
              <a:latin typeface="Calibri"/>
              <a:ea typeface="Calibri"/>
              <a:cs typeface="Calibri"/>
            </a:rPr>
            <a:t>13EME ET 14EME MOIS</a:t>
          </a:r>
          <a:r>
            <a:rPr lang="en-US" cap="none" sz="1100" b="0" i="0" u="none" baseline="0">
              <a:solidFill>
                <a:srgbClr val="FFFFFF"/>
              </a:solidFill>
              <a:latin typeface="Calibri"/>
              <a:ea typeface="Calibri"/>
              <a:cs typeface="Calibri"/>
            </a:rPr>
            <a:t>: 2,56</a:t>
          </a:r>
        </a:p>
      </xdr:txBody>
    </xdr:sp>
    <xdr:clientData/>
  </xdr:twoCellAnchor>
  <xdr:twoCellAnchor>
    <xdr:from>
      <xdr:col>22</xdr:col>
      <xdr:colOff>400050</xdr:colOff>
      <xdr:row>64</xdr:row>
      <xdr:rowOff>66675</xdr:rowOff>
    </xdr:from>
    <xdr:to>
      <xdr:col>28</xdr:col>
      <xdr:colOff>676275</xdr:colOff>
      <xdr:row>72</xdr:row>
      <xdr:rowOff>76200</xdr:rowOff>
    </xdr:to>
    <xdr:sp>
      <xdr:nvSpPr>
        <xdr:cNvPr id="12" name="Légende encadrée 1 44"/>
        <xdr:cNvSpPr>
          <a:spLocks/>
        </xdr:cNvSpPr>
      </xdr:nvSpPr>
      <xdr:spPr>
        <a:xfrm>
          <a:off x="9020175" y="10448925"/>
          <a:ext cx="4848225" cy="1762125"/>
        </a:xfrm>
        <a:prstGeom prst="borderCallout1">
          <a:avLst>
            <a:gd name="adj1" fmla="val -195546"/>
            <a:gd name="adj2" fmla="val -1217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La</a:t>
          </a:r>
          <a:r>
            <a:rPr lang="en-US" cap="none" sz="1100" b="0" i="0" u="none" baseline="0">
              <a:solidFill>
                <a:srgbClr val="FFFFFF"/>
              </a:solidFill>
              <a:latin typeface="Calibri"/>
              <a:ea typeface="Calibri"/>
              <a:cs typeface="Calibri"/>
            </a:rPr>
            <a:t> partie ELEMENTS DE SALAIRE permet de transformer n'importe qu'elle rémunération en taux horaire.
Dans cette exemple l'intérimaire est payé 2500 par mois sur 14 mois compris (est déjà compris dans les 2500 euros de fixe) sur une base de 37 heures (les deux heures sup sont bien calculés dans le taux horaire)
</a:t>
          </a:r>
          <a:r>
            <a:rPr lang="en-US" cap="none" sz="1100" b="0"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TAUX HORAIRE</a:t>
          </a:r>
          <a:r>
            <a:rPr lang="en-US" cap="none" sz="1100" b="0" i="0" u="none" baseline="0">
              <a:solidFill>
                <a:srgbClr val="FFFFFF"/>
              </a:solidFill>
              <a:latin typeface="Calibri"/>
              <a:ea typeface="Calibri"/>
              <a:cs typeface="Calibri"/>
            </a:rPr>
            <a:t>: 13,19
</a:t>
          </a:r>
          <a:r>
            <a:rPr lang="en-US" cap="none" sz="1100" b="1" i="0" u="none" baseline="0">
              <a:solidFill>
                <a:srgbClr val="FFFFFF"/>
              </a:solidFill>
              <a:latin typeface="Calibri"/>
              <a:ea typeface="Calibri"/>
              <a:cs typeface="Calibri"/>
            </a:rPr>
            <a:t>13EME ET 14EME MOIS</a:t>
          </a:r>
          <a:r>
            <a:rPr lang="en-US" cap="none" sz="1100" b="0" i="0" u="none" baseline="0">
              <a:solidFill>
                <a:srgbClr val="FFFFFF"/>
              </a:solidFill>
              <a:latin typeface="Calibri"/>
              <a:ea typeface="Calibri"/>
              <a:cs typeface="Calibri"/>
            </a:rPr>
            <a:t>: 2,20</a:t>
          </a:r>
        </a:p>
      </xdr:txBody>
    </xdr:sp>
    <xdr:clientData/>
  </xdr:twoCellAnchor>
  <xdr:twoCellAnchor>
    <xdr:from>
      <xdr:col>29</xdr:col>
      <xdr:colOff>142875</xdr:colOff>
      <xdr:row>60</xdr:row>
      <xdr:rowOff>47625</xdr:rowOff>
    </xdr:from>
    <xdr:to>
      <xdr:col>34</xdr:col>
      <xdr:colOff>114300</xdr:colOff>
      <xdr:row>70</xdr:row>
      <xdr:rowOff>190500</xdr:rowOff>
    </xdr:to>
    <xdr:sp>
      <xdr:nvSpPr>
        <xdr:cNvPr id="13" name="ZoneTexte 3"/>
        <xdr:cNvSpPr txBox="1">
          <a:spLocks noChangeArrowheads="1"/>
        </xdr:cNvSpPr>
      </xdr:nvSpPr>
      <xdr:spPr>
        <a:xfrm>
          <a:off x="14097000" y="9544050"/>
          <a:ext cx="3781425" cy="2209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ATTENTION</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Si vous indiquez une base hebdomadaire superieur à 35 heures , le taux horaire se calculera en fonction des heures supplémentaire au dessus de 35 heures.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C'est assez rare mais  cela s'applique si votre client vous dit par exemple:
 "je veux que l'intérimaire soit payé 2000€ par mois, </a:t>
          </a:r>
          <a:r>
            <a:rPr lang="en-US" cap="none" sz="1100" b="1" i="0" u="sng" baseline="0">
              <a:solidFill>
                <a:srgbClr val="000000"/>
              </a:solidFill>
              <a:latin typeface="Calibri"/>
              <a:ea typeface="Calibri"/>
              <a:cs typeface="Calibri"/>
            </a:rPr>
            <a:t>pour 38 heures travaillées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Dans ce cas précis, le taux horaire prendra en compte les heures supplémentaires de 35 à 38 heures.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SInon (dans la plupart des cas) vous laisserez 35 heures</a:t>
          </a:r>
          <a:r>
            <a:rPr lang="en-US" cap="none" sz="1100" b="0" i="0" u="none" baseline="0">
              <a:solidFill>
                <a:srgbClr val="000000"/>
              </a:solidFill>
              <a:latin typeface="Calibri"/>
              <a:ea typeface="Calibri"/>
              <a:cs typeface="Calibri"/>
            </a:rPr>
            <a:t>
</a:t>
          </a:r>
        </a:p>
      </xdr:txBody>
    </xdr:sp>
    <xdr:clientData/>
  </xdr:twoCellAnchor>
  <xdr:twoCellAnchor>
    <xdr:from>
      <xdr:col>14</xdr:col>
      <xdr:colOff>133350</xdr:colOff>
      <xdr:row>81</xdr:row>
      <xdr:rowOff>152400</xdr:rowOff>
    </xdr:from>
    <xdr:to>
      <xdr:col>19</xdr:col>
      <xdr:colOff>57150</xdr:colOff>
      <xdr:row>86</xdr:row>
      <xdr:rowOff>171450</xdr:rowOff>
    </xdr:to>
    <xdr:sp>
      <xdr:nvSpPr>
        <xdr:cNvPr id="14" name="Légende encadrée 1 8"/>
        <xdr:cNvSpPr>
          <a:spLocks/>
        </xdr:cNvSpPr>
      </xdr:nvSpPr>
      <xdr:spPr>
        <a:xfrm>
          <a:off x="5915025" y="13906500"/>
          <a:ext cx="1295400" cy="971550"/>
        </a:xfrm>
        <a:prstGeom prst="borderCallout1">
          <a:avLst>
            <a:gd name="adj1" fmla="val -175777"/>
            <a:gd name="adj2" fmla="val -17622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Coefficienté à 1,90</a:t>
          </a:r>
          <a:r>
            <a:rPr lang="en-US" cap="none" sz="1100" b="0" i="0" u="none" baseline="0">
              <a:solidFill>
                <a:srgbClr val="FFFFFF"/>
              </a:solidFill>
              <a:latin typeface="Calibri"/>
              <a:ea typeface="Calibri"/>
              <a:cs typeface="Calibri"/>
            </a:rPr>
            <a:t> (peut se modifier en feuille2)</a:t>
          </a:r>
        </a:p>
      </xdr:txBody>
    </xdr:sp>
    <xdr:clientData/>
  </xdr:twoCellAnchor>
  <xdr:twoCellAnchor>
    <xdr:from>
      <xdr:col>13</xdr:col>
      <xdr:colOff>9525</xdr:colOff>
      <xdr:row>90</xdr:row>
      <xdr:rowOff>47625</xdr:rowOff>
    </xdr:from>
    <xdr:to>
      <xdr:col>17</xdr:col>
      <xdr:colOff>333375</xdr:colOff>
      <xdr:row>95</xdr:row>
      <xdr:rowOff>66675</xdr:rowOff>
    </xdr:to>
    <xdr:sp>
      <xdr:nvSpPr>
        <xdr:cNvPr id="15" name="Légende encadrée 1 8"/>
        <xdr:cNvSpPr>
          <a:spLocks/>
        </xdr:cNvSpPr>
      </xdr:nvSpPr>
      <xdr:spPr>
        <a:xfrm>
          <a:off x="5743575" y="15516225"/>
          <a:ext cx="1295400" cy="971550"/>
        </a:xfrm>
        <a:prstGeom prst="borderCallout1">
          <a:avLst>
            <a:gd name="adj1" fmla="val -175046"/>
            <a:gd name="adj2" fmla="val -29806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Coefficienté à 1,90</a:t>
          </a:r>
          <a:r>
            <a:rPr lang="en-US" cap="none" sz="1100" b="0" i="0" u="none" baseline="0">
              <a:solidFill>
                <a:srgbClr val="FFFFFF"/>
              </a:solidFill>
              <a:latin typeface="Calibri"/>
              <a:ea typeface="Calibri"/>
              <a:cs typeface="Calibri"/>
            </a:rPr>
            <a:t> (peut se modifier en feuille2)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8</xdr:row>
      <xdr:rowOff>152400</xdr:rowOff>
    </xdr:from>
    <xdr:to>
      <xdr:col>4</xdr:col>
      <xdr:colOff>152400</xdr:colOff>
      <xdr:row>11</xdr:row>
      <xdr:rowOff>133350</xdr:rowOff>
    </xdr:to>
    <xdr:sp>
      <xdr:nvSpPr>
        <xdr:cNvPr id="1" name="ZoneTexte 1"/>
        <xdr:cNvSpPr txBox="1">
          <a:spLocks noChangeArrowheads="1"/>
        </xdr:cNvSpPr>
      </xdr:nvSpPr>
      <xdr:spPr>
        <a:xfrm>
          <a:off x="1914525" y="1695450"/>
          <a:ext cx="1285875"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Panier</a:t>
          </a:r>
          <a:r>
            <a:rPr lang="en-US" cap="none" sz="1100" b="1" i="0" u="none" baseline="0">
              <a:solidFill>
                <a:srgbClr val="000000"/>
              </a:solidFill>
              <a:latin typeface="Calibri"/>
              <a:ea typeface="Calibri"/>
              <a:cs typeface="Calibri"/>
            </a:rPr>
            <a:t> repas facturé coef 1,9</a:t>
          </a:r>
        </a:p>
      </xdr:txBody>
    </xdr:sp>
    <xdr:clientData/>
  </xdr:twoCellAnchor>
  <xdr:twoCellAnchor>
    <xdr:from>
      <xdr:col>4</xdr:col>
      <xdr:colOff>152400</xdr:colOff>
      <xdr:row>6</xdr:row>
      <xdr:rowOff>76200</xdr:rowOff>
    </xdr:from>
    <xdr:to>
      <xdr:col>4</xdr:col>
      <xdr:colOff>466725</xdr:colOff>
      <xdr:row>10</xdr:row>
      <xdr:rowOff>47625</xdr:rowOff>
    </xdr:to>
    <xdr:sp>
      <xdr:nvSpPr>
        <xdr:cNvPr id="2" name="Connecteur droit avec flèche 2"/>
        <xdr:cNvSpPr>
          <a:spLocks/>
        </xdr:cNvSpPr>
      </xdr:nvSpPr>
      <xdr:spPr>
        <a:xfrm flipV="1">
          <a:off x="3200400" y="1238250"/>
          <a:ext cx="314325" cy="7334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733425</xdr:colOff>
      <xdr:row>3</xdr:row>
      <xdr:rowOff>38100</xdr:rowOff>
    </xdr:from>
    <xdr:to>
      <xdr:col>18</xdr:col>
      <xdr:colOff>266700</xdr:colOff>
      <xdr:row>13</xdr:row>
      <xdr:rowOff>133350</xdr:rowOff>
    </xdr:to>
    <xdr:pic>
      <xdr:nvPicPr>
        <xdr:cNvPr id="1" name="il_fi" descr="http://etudier-voyager.fr/wp-content/uploads/2012/10/salaire_diplome.jpg"/>
        <xdr:cNvPicPr preferRelativeResize="1">
          <a:picLocks noChangeAspect="1"/>
        </xdr:cNvPicPr>
      </xdr:nvPicPr>
      <xdr:blipFill>
        <a:blip r:embed="rId1"/>
        <a:stretch>
          <a:fillRect/>
        </a:stretch>
      </xdr:blipFill>
      <xdr:spPr>
        <a:xfrm>
          <a:off x="10696575" y="1314450"/>
          <a:ext cx="3343275" cy="2200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1819275</xdr:colOff>
      <xdr:row>1</xdr:row>
      <xdr:rowOff>19050</xdr:rowOff>
    </xdr:from>
    <xdr:to>
      <xdr:col>1</xdr:col>
      <xdr:colOff>2114550</xdr:colOff>
      <xdr:row>1</xdr:row>
      <xdr:rowOff>200025</xdr:rowOff>
    </xdr:to>
    <xdr:pic>
      <xdr:nvPicPr>
        <xdr:cNvPr id="1" name="il_fi" descr="http://www.stor.fr/images/fleche_droite.png"/>
        <xdr:cNvPicPr preferRelativeResize="1">
          <a:picLocks noChangeAspect="1"/>
        </xdr:cNvPicPr>
      </xdr:nvPicPr>
      <xdr:blipFill>
        <a:blip r:embed="rId1"/>
        <a:srcRect t="6248" b="9767"/>
        <a:stretch>
          <a:fillRect/>
        </a:stretch>
      </xdr:blipFill>
      <xdr:spPr>
        <a:xfrm>
          <a:off x="2057400" y="219075"/>
          <a:ext cx="295275" cy="180975"/>
        </a:xfrm>
        <a:prstGeom prst="rect">
          <a:avLst/>
        </a:prstGeom>
        <a:noFill/>
        <a:ln w="9525" cmpd="sng">
          <a:noFill/>
        </a:ln>
      </xdr:spPr>
    </xdr:pic>
    <xdr:clientData/>
  </xdr:twoCellAnchor>
  <xdr:twoCellAnchor editAs="oneCell">
    <xdr:from>
      <xdr:col>1</xdr:col>
      <xdr:colOff>1819275</xdr:colOff>
      <xdr:row>1</xdr:row>
      <xdr:rowOff>19050</xdr:rowOff>
    </xdr:from>
    <xdr:to>
      <xdr:col>1</xdr:col>
      <xdr:colOff>2114550</xdr:colOff>
      <xdr:row>1</xdr:row>
      <xdr:rowOff>200025</xdr:rowOff>
    </xdr:to>
    <xdr:pic>
      <xdr:nvPicPr>
        <xdr:cNvPr id="2" name="il_fi" descr="http://www.stor.fr/images/fleche_droite.png"/>
        <xdr:cNvPicPr preferRelativeResize="1">
          <a:picLocks noChangeAspect="1"/>
        </xdr:cNvPicPr>
      </xdr:nvPicPr>
      <xdr:blipFill>
        <a:blip r:embed="rId1"/>
        <a:srcRect t="6248" b="9767"/>
        <a:stretch>
          <a:fillRect/>
        </a:stretch>
      </xdr:blipFill>
      <xdr:spPr>
        <a:xfrm>
          <a:off x="2057400" y="219075"/>
          <a:ext cx="295275" cy="180975"/>
        </a:xfrm>
        <a:prstGeom prst="rect">
          <a:avLst/>
        </a:prstGeom>
        <a:noFill/>
        <a:ln w="9525" cmpd="sng">
          <a:noFill/>
        </a:ln>
      </xdr:spPr>
    </xdr:pic>
    <xdr:clientData/>
  </xdr:twoCellAnchor>
  <xdr:twoCellAnchor editAs="oneCell">
    <xdr:from>
      <xdr:col>1</xdr:col>
      <xdr:colOff>1819275</xdr:colOff>
      <xdr:row>1</xdr:row>
      <xdr:rowOff>19050</xdr:rowOff>
    </xdr:from>
    <xdr:to>
      <xdr:col>1</xdr:col>
      <xdr:colOff>2114550</xdr:colOff>
      <xdr:row>1</xdr:row>
      <xdr:rowOff>200025</xdr:rowOff>
    </xdr:to>
    <xdr:pic>
      <xdr:nvPicPr>
        <xdr:cNvPr id="3" name="il_fi" descr="http://www.stor.fr/images/fleche_droite.png"/>
        <xdr:cNvPicPr preferRelativeResize="1">
          <a:picLocks noChangeAspect="1"/>
        </xdr:cNvPicPr>
      </xdr:nvPicPr>
      <xdr:blipFill>
        <a:blip r:embed="rId1"/>
        <a:srcRect t="6248" b="9767"/>
        <a:stretch>
          <a:fillRect/>
        </a:stretch>
      </xdr:blipFill>
      <xdr:spPr>
        <a:xfrm>
          <a:off x="2057400" y="219075"/>
          <a:ext cx="295275"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1819275</xdr:colOff>
      <xdr:row>1</xdr:row>
      <xdr:rowOff>19050</xdr:rowOff>
    </xdr:from>
    <xdr:to>
      <xdr:col>1</xdr:col>
      <xdr:colOff>2114550</xdr:colOff>
      <xdr:row>1</xdr:row>
      <xdr:rowOff>200025</xdr:rowOff>
    </xdr:to>
    <xdr:pic>
      <xdr:nvPicPr>
        <xdr:cNvPr id="1" name="il_fi" descr="http://www.stor.fr/images/fleche_droite.png"/>
        <xdr:cNvPicPr preferRelativeResize="1">
          <a:picLocks noChangeAspect="1"/>
        </xdr:cNvPicPr>
      </xdr:nvPicPr>
      <xdr:blipFill>
        <a:blip r:embed="rId1"/>
        <a:srcRect t="6248" b="9767"/>
        <a:stretch>
          <a:fillRect/>
        </a:stretch>
      </xdr:blipFill>
      <xdr:spPr>
        <a:xfrm>
          <a:off x="2057400" y="219075"/>
          <a:ext cx="295275" cy="180975"/>
        </a:xfrm>
        <a:prstGeom prst="rect">
          <a:avLst/>
        </a:prstGeom>
        <a:noFill/>
        <a:ln w="9525" cmpd="sng">
          <a:noFill/>
        </a:ln>
      </xdr:spPr>
    </xdr:pic>
    <xdr:clientData/>
  </xdr:twoCellAnchor>
  <xdr:twoCellAnchor editAs="oneCell">
    <xdr:from>
      <xdr:col>1</xdr:col>
      <xdr:colOff>1819275</xdr:colOff>
      <xdr:row>1</xdr:row>
      <xdr:rowOff>19050</xdr:rowOff>
    </xdr:from>
    <xdr:to>
      <xdr:col>1</xdr:col>
      <xdr:colOff>2114550</xdr:colOff>
      <xdr:row>1</xdr:row>
      <xdr:rowOff>200025</xdr:rowOff>
    </xdr:to>
    <xdr:pic>
      <xdr:nvPicPr>
        <xdr:cNvPr id="2" name="il_fi" descr="http://www.stor.fr/images/fleche_droite.png"/>
        <xdr:cNvPicPr preferRelativeResize="1">
          <a:picLocks noChangeAspect="1"/>
        </xdr:cNvPicPr>
      </xdr:nvPicPr>
      <xdr:blipFill>
        <a:blip r:embed="rId1"/>
        <a:srcRect t="6248" b="9767"/>
        <a:stretch>
          <a:fillRect/>
        </a:stretch>
      </xdr:blipFill>
      <xdr:spPr>
        <a:xfrm>
          <a:off x="2057400" y="219075"/>
          <a:ext cx="295275"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1819275</xdr:colOff>
      <xdr:row>1</xdr:row>
      <xdr:rowOff>19050</xdr:rowOff>
    </xdr:from>
    <xdr:to>
      <xdr:col>1</xdr:col>
      <xdr:colOff>2114550</xdr:colOff>
      <xdr:row>1</xdr:row>
      <xdr:rowOff>200025</xdr:rowOff>
    </xdr:to>
    <xdr:pic>
      <xdr:nvPicPr>
        <xdr:cNvPr id="1" name="il_fi" descr="http://www.stor.fr/images/fleche_droite.png"/>
        <xdr:cNvPicPr preferRelativeResize="1">
          <a:picLocks noChangeAspect="1"/>
        </xdr:cNvPicPr>
      </xdr:nvPicPr>
      <xdr:blipFill>
        <a:blip r:embed="rId1"/>
        <a:srcRect t="6248" b="9767"/>
        <a:stretch>
          <a:fillRect/>
        </a:stretch>
      </xdr:blipFill>
      <xdr:spPr>
        <a:xfrm>
          <a:off x="2057400" y="219075"/>
          <a:ext cx="295275" cy="180975"/>
        </a:xfrm>
        <a:prstGeom prst="rect">
          <a:avLst/>
        </a:prstGeom>
        <a:noFill/>
        <a:ln w="9525" cmpd="sng">
          <a:noFill/>
        </a:ln>
      </xdr:spPr>
    </xdr:pic>
    <xdr:clientData/>
  </xdr:twoCellAnchor>
  <xdr:twoCellAnchor editAs="oneCell">
    <xdr:from>
      <xdr:col>1</xdr:col>
      <xdr:colOff>1819275</xdr:colOff>
      <xdr:row>1</xdr:row>
      <xdr:rowOff>19050</xdr:rowOff>
    </xdr:from>
    <xdr:to>
      <xdr:col>1</xdr:col>
      <xdr:colOff>2114550</xdr:colOff>
      <xdr:row>1</xdr:row>
      <xdr:rowOff>200025</xdr:rowOff>
    </xdr:to>
    <xdr:pic>
      <xdr:nvPicPr>
        <xdr:cNvPr id="2" name="il_fi" descr="http://www.stor.fr/images/fleche_droite.png"/>
        <xdr:cNvPicPr preferRelativeResize="1">
          <a:picLocks noChangeAspect="1"/>
        </xdr:cNvPicPr>
      </xdr:nvPicPr>
      <xdr:blipFill>
        <a:blip r:embed="rId1"/>
        <a:srcRect t="6248" b="9767"/>
        <a:stretch>
          <a:fillRect/>
        </a:stretch>
      </xdr:blipFill>
      <xdr:spPr>
        <a:xfrm>
          <a:off x="2057400" y="219075"/>
          <a:ext cx="295275" cy="180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1819275</xdr:colOff>
      <xdr:row>1</xdr:row>
      <xdr:rowOff>19050</xdr:rowOff>
    </xdr:from>
    <xdr:to>
      <xdr:col>1</xdr:col>
      <xdr:colOff>2114550</xdr:colOff>
      <xdr:row>1</xdr:row>
      <xdr:rowOff>200025</xdr:rowOff>
    </xdr:to>
    <xdr:pic>
      <xdr:nvPicPr>
        <xdr:cNvPr id="1" name="il_fi" descr="http://www.stor.fr/images/fleche_droite.png"/>
        <xdr:cNvPicPr preferRelativeResize="1">
          <a:picLocks noChangeAspect="1"/>
        </xdr:cNvPicPr>
      </xdr:nvPicPr>
      <xdr:blipFill>
        <a:blip r:embed="rId1"/>
        <a:srcRect t="6248" b="9767"/>
        <a:stretch>
          <a:fillRect/>
        </a:stretch>
      </xdr:blipFill>
      <xdr:spPr>
        <a:xfrm>
          <a:off x="2057400" y="219075"/>
          <a:ext cx="295275" cy="180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4</xdr:row>
      <xdr:rowOff>180975</xdr:rowOff>
    </xdr:from>
    <xdr:to>
      <xdr:col>10</xdr:col>
      <xdr:colOff>352425</xdr:colOff>
      <xdr:row>5</xdr:row>
      <xdr:rowOff>38100</xdr:rowOff>
    </xdr:to>
    <xdr:sp>
      <xdr:nvSpPr>
        <xdr:cNvPr id="1" name="Connecteur droit avec flèche 2"/>
        <xdr:cNvSpPr>
          <a:spLocks/>
        </xdr:cNvSpPr>
      </xdr:nvSpPr>
      <xdr:spPr>
        <a:xfrm flipH="1" flipV="1">
          <a:off x="8591550" y="971550"/>
          <a:ext cx="561975" cy="666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361950</xdr:colOff>
      <xdr:row>3</xdr:row>
      <xdr:rowOff>171450</xdr:rowOff>
    </xdr:from>
    <xdr:to>
      <xdr:col>12</xdr:col>
      <xdr:colOff>104775</xdr:colOff>
      <xdr:row>6</xdr:row>
      <xdr:rowOff>114300</xdr:rowOff>
    </xdr:to>
    <xdr:sp>
      <xdr:nvSpPr>
        <xdr:cNvPr id="2" name="ZoneTexte 4"/>
        <xdr:cNvSpPr txBox="1">
          <a:spLocks noChangeArrowheads="1"/>
        </xdr:cNvSpPr>
      </xdr:nvSpPr>
      <xdr:spPr>
        <a:xfrm>
          <a:off x="9163050" y="752475"/>
          <a:ext cx="1266825"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ANNULE</a:t>
          </a:r>
        </a:p>
      </xdr:txBody>
    </xdr:sp>
    <xdr:clientData/>
  </xdr:twoCellAnchor>
  <xdr:twoCellAnchor>
    <xdr:from>
      <xdr:col>8</xdr:col>
      <xdr:colOff>733425</xdr:colOff>
      <xdr:row>13</xdr:row>
      <xdr:rowOff>190500</xdr:rowOff>
    </xdr:from>
    <xdr:to>
      <xdr:col>10</xdr:col>
      <xdr:colOff>590550</xdr:colOff>
      <xdr:row>15</xdr:row>
      <xdr:rowOff>190500</xdr:rowOff>
    </xdr:to>
    <xdr:sp>
      <xdr:nvSpPr>
        <xdr:cNvPr id="3" name="Connecteur droit avec flèche 5"/>
        <xdr:cNvSpPr>
          <a:spLocks/>
        </xdr:cNvSpPr>
      </xdr:nvSpPr>
      <xdr:spPr>
        <a:xfrm flipH="1" flipV="1">
          <a:off x="8010525" y="2733675"/>
          <a:ext cx="1381125" cy="4095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600075</xdr:colOff>
      <xdr:row>13</xdr:row>
      <xdr:rowOff>180975</xdr:rowOff>
    </xdr:from>
    <xdr:to>
      <xdr:col>12</xdr:col>
      <xdr:colOff>666750</xdr:colOff>
      <xdr:row>17</xdr:row>
      <xdr:rowOff>95250</xdr:rowOff>
    </xdr:to>
    <xdr:sp>
      <xdr:nvSpPr>
        <xdr:cNvPr id="4" name="ZoneTexte 6"/>
        <xdr:cNvSpPr txBox="1">
          <a:spLocks noChangeArrowheads="1"/>
        </xdr:cNvSpPr>
      </xdr:nvSpPr>
      <xdr:spPr>
        <a:xfrm>
          <a:off x="9401175" y="2724150"/>
          <a:ext cx="1590675" cy="723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X mois à rajouter
Variables:</a:t>
          </a:r>
          <a:r>
            <a:rPr lang="en-US" cap="none" sz="1100" b="1" i="0" u="none" baseline="0">
              <a:solidFill>
                <a:srgbClr val="000000"/>
              </a:solidFill>
              <a:latin typeface="Calibri"/>
              <a:ea typeface="Calibri"/>
              <a:cs typeface="Calibri"/>
            </a:rPr>
            <a:t>   "x" mois et "x "heures hebdo</a:t>
          </a:r>
        </a:p>
      </xdr:txBody>
    </xdr:sp>
    <xdr:clientData/>
  </xdr:twoCellAnchor>
  <xdr:twoCellAnchor>
    <xdr:from>
      <xdr:col>9</xdr:col>
      <xdr:colOff>209550</xdr:colOff>
      <xdr:row>35</xdr:row>
      <xdr:rowOff>28575</xdr:rowOff>
    </xdr:from>
    <xdr:to>
      <xdr:col>9</xdr:col>
      <xdr:colOff>657225</xdr:colOff>
      <xdr:row>36</xdr:row>
      <xdr:rowOff>76200</xdr:rowOff>
    </xdr:to>
    <xdr:sp>
      <xdr:nvSpPr>
        <xdr:cNvPr id="5" name="Connecteur droit avec flèche 7"/>
        <xdr:cNvSpPr>
          <a:spLocks/>
        </xdr:cNvSpPr>
      </xdr:nvSpPr>
      <xdr:spPr>
        <a:xfrm flipH="1" flipV="1">
          <a:off x="8248650" y="6848475"/>
          <a:ext cx="447675" cy="2381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638175</xdr:colOff>
      <xdr:row>34</xdr:row>
      <xdr:rowOff>142875</xdr:rowOff>
    </xdr:from>
    <xdr:to>
      <xdr:col>12</xdr:col>
      <xdr:colOff>238125</xdr:colOff>
      <xdr:row>40</xdr:row>
      <xdr:rowOff>76200</xdr:rowOff>
    </xdr:to>
    <xdr:sp>
      <xdr:nvSpPr>
        <xdr:cNvPr id="6" name="ZoneTexte 8"/>
        <xdr:cNvSpPr txBox="1">
          <a:spLocks noChangeArrowheads="1"/>
        </xdr:cNvSpPr>
      </xdr:nvSpPr>
      <xdr:spPr>
        <a:xfrm>
          <a:off x="8677275" y="6772275"/>
          <a:ext cx="1885950" cy="1076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sng" baseline="0">
              <a:solidFill>
                <a:srgbClr val="000000"/>
              </a:solidFill>
              <a:latin typeface="Calibri"/>
              <a:ea typeface="Calibri"/>
              <a:cs typeface="Calibri"/>
            </a:rPr>
            <a:t>X mois compris. Variables : "x" mois et "x" heures hebdo</a:t>
          </a:r>
        </a:p>
      </xdr:txBody>
    </xdr:sp>
    <xdr:clientData/>
  </xdr:twoCellAnchor>
  <xdr:twoCellAnchor>
    <xdr:from>
      <xdr:col>3</xdr:col>
      <xdr:colOff>1095375</xdr:colOff>
      <xdr:row>21</xdr:row>
      <xdr:rowOff>76200</xdr:rowOff>
    </xdr:from>
    <xdr:to>
      <xdr:col>5</xdr:col>
      <xdr:colOff>152400</xdr:colOff>
      <xdr:row>24</xdr:row>
      <xdr:rowOff>38100</xdr:rowOff>
    </xdr:to>
    <xdr:sp>
      <xdr:nvSpPr>
        <xdr:cNvPr id="7" name="ZoneTexte 11"/>
        <xdr:cNvSpPr txBox="1">
          <a:spLocks noChangeArrowheads="1"/>
        </xdr:cNvSpPr>
      </xdr:nvSpPr>
      <xdr:spPr>
        <a:xfrm>
          <a:off x="3390900" y="4191000"/>
          <a:ext cx="1285875"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Panier</a:t>
          </a:r>
          <a:r>
            <a:rPr lang="en-US" cap="none" sz="1100" b="1" i="0" u="none" baseline="0">
              <a:solidFill>
                <a:srgbClr val="000000"/>
              </a:solidFill>
              <a:latin typeface="Calibri"/>
              <a:ea typeface="Calibri"/>
              <a:cs typeface="Calibri"/>
            </a:rPr>
            <a:t> repas facturé coef 1,9</a:t>
          </a:r>
        </a:p>
      </xdr:txBody>
    </xdr:sp>
    <xdr:clientData/>
  </xdr:twoCellAnchor>
  <xdr:twoCellAnchor>
    <xdr:from>
      <xdr:col>5</xdr:col>
      <xdr:colOff>152400</xdr:colOff>
      <xdr:row>22</xdr:row>
      <xdr:rowOff>85725</xdr:rowOff>
    </xdr:from>
    <xdr:to>
      <xdr:col>5</xdr:col>
      <xdr:colOff>666750</xdr:colOff>
      <xdr:row>22</xdr:row>
      <xdr:rowOff>152400</xdr:rowOff>
    </xdr:to>
    <xdr:sp>
      <xdr:nvSpPr>
        <xdr:cNvPr id="8" name="Connecteur droit avec flèche 12"/>
        <xdr:cNvSpPr>
          <a:spLocks/>
        </xdr:cNvSpPr>
      </xdr:nvSpPr>
      <xdr:spPr>
        <a:xfrm flipV="1">
          <a:off x="4676775" y="4400550"/>
          <a:ext cx="514350" cy="666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9</xdr:row>
      <xdr:rowOff>0</xdr:rowOff>
    </xdr:from>
    <xdr:to>
      <xdr:col>5</xdr:col>
      <xdr:colOff>371475</xdr:colOff>
      <xdr:row>11</xdr:row>
      <xdr:rowOff>171450</xdr:rowOff>
    </xdr:to>
    <xdr:sp>
      <xdr:nvSpPr>
        <xdr:cNvPr id="9" name="ZoneTexte 19"/>
        <xdr:cNvSpPr txBox="1">
          <a:spLocks noChangeArrowheads="1"/>
        </xdr:cNvSpPr>
      </xdr:nvSpPr>
      <xdr:spPr>
        <a:xfrm>
          <a:off x="3619500" y="1762125"/>
          <a:ext cx="1276350" cy="561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kékos du 22</a:t>
          </a:r>
        </a:p>
      </xdr:txBody>
    </xdr:sp>
    <xdr:clientData/>
  </xdr:twoCellAnchor>
  <xdr:twoCellAnchor>
    <xdr:from>
      <xdr:col>4</xdr:col>
      <xdr:colOff>104775</xdr:colOff>
      <xdr:row>7</xdr:row>
      <xdr:rowOff>123825</xdr:rowOff>
    </xdr:from>
    <xdr:to>
      <xdr:col>4</xdr:col>
      <xdr:colOff>609600</xdr:colOff>
      <xdr:row>8</xdr:row>
      <xdr:rowOff>190500</xdr:rowOff>
    </xdr:to>
    <xdr:sp>
      <xdr:nvSpPr>
        <xdr:cNvPr id="10" name="Connecteur droit avec flèche 20"/>
        <xdr:cNvSpPr>
          <a:spLocks/>
        </xdr:cNvSpPr>
      </xdr:nvSpPr>
      <xdr:spPr>
        <a:xfrm flipH="1" flipV="1">
          <a:off x="3695700" y="1504950"/>
          <a:ext cx="504825" cy="2571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723900</xdr:colOff>
      <xdr:row>21</xdr:row>
      <xdr:rowOff>0</xdr:rowOff>
    </xdr:from>
    <xdr:to>
      <xdr:col>3</xdr:col>
      <xdr:colOff>1238250</xdr:colOff>
      <xdr:row>23</xdr:row>
      <xdr:rowOff>133350</xdr:rowOff>
    </xdr:to>
    <xdr:sp>
      <xdr:nvSpPr>
        <xdr:cNvPr id="11" name="ZoneTexte 22"/>
        <xdr:cNvSpPr txBox="1">
          <a:spLocks noChangeArrowheads="1"/>
        </xdr:cNvSpPr>
      </xdr:nvSpPr>
      <xdr:spPr>
        <a:xfrm>
          <a:off x="2257425" y="4114800"/>
          <a:ext cx="1276350" cy="533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Les jours qui passent ...</a:t>
          </a:r>
        </a:p>
      </xdr:txBody>
    </xdr:sp>
    <xdr:clientData/>
  </xdr:twoCellAnchor>
  <xdr:twoCellAnchor>
    <xdr:from>
      <xdr:col>2</xdr:col>
      <xdr:colOff>428625</xdr:colOff>
      <xdr:row>16</xdr:row>
      <xdr:rowOff>85725</xdr:rowOff>
    </xdr:from>
    <xdr:to>
      <xdr:col>3</xdr:col>
      <xdr:colOff>200025</xdr:colOff>
      <xdr:row>17</xdr:row>
      <xdr:rowOff>0</xdr:rowOff>
    </xdr:to>
    <xdr:sp>
      <xdr:nvSpPr>
        <xdr:cNvPr id="12" name="Connecteur droit avec flèche 23"/>
        <xdr:cNvSpPr>
          <a:spLocks/>
        </xdr:cNvSpPr>
      </xdr:nvSpPr>
      <xdr:spPr>
        <a:xfrm flipH="1" flipV="1">
          <a:off x="1962150" y="3248025"/>
          <a:ext cx="533400" cy="1047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219075</xdr:colOff>
      <xdr:row>16</xdr:row>
      <xdr:rowOff>47625</xdr:rowOff>
    </xdr:from>
    <xdr:to>
      <xdr:col>3</xdr:col>
      <xdr:colOff>438150</xdr:colOff>
      <xdr:row>16</xdr:row>
      <xdr:rowOff>180975</xdr:rowOff>
    </xdr:to>
    <xdr:sp>
      <xdr:nvSpPr>
        <xdr:cNvPr id="13" name="Connecteur droit avec flèche 24"/>
        <xdr:cNvSpPr>
          <a:spLocks/>
        </xdr:cNvSpPr>
      </xdr:nvSpPr>
      <xdr:spPr>
        <a:xfrm flipV="1">
          <a:off x="2514600" y="3209925"/>
          <a:ext cx="219075" cy="1333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142875</xdr:colOff>
      <xdr:row>13</xdr:row>
      <xdr:rowOff>57150</xdr:rowOff>
    </xdr:from>
    <xdr:to>
      <xdr:col>1</xdr:col>
      <xdr:colOff>228600</xdr:colOff>
      <xdr:row>15</xdr:row>
      <xdr:rowOff>190500</xdr:rowOff>
    </xdr:to>
    <xdr:sp>
      <xdr:nvSpPr>
        <xdr:cNvPr id="14" name="ZoneTexte 26"/>
        <xdr:cNvSpPr txBox="1">
          <a:spLocks noChangeArrowheads="1"/>
        </xdr:cNvSpPr>
      </xdr:nvSpPr>
      <xdr:spPr>
        <a:xfrm>
          <a:off x="142875" y="2600325"/>
          <a:ext cx="847725" cy="542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Motifs d'absences</a:t>
          </a:r>
        </a:p>
      </xdr:txBody>
    </xdr:sp>
    <xdr:clientData/>
  </xdr:twoCellAnchor>
  <xdr:twoCellAnchor>
    <xdr:from>
      <xdr:col>0</xdr:col>
      <xdr:colOff>304800</xdr:colOff>
      <xdr:row>11</xdr:row>
      <xdr:rowOff>171450</xdr:rowOff>
    </xdr:from>
    <xdr:to>
      <xdr:col>0</xdr:col>
      <xdr:colOff>552450</xdr:colOff>
      <xdr:row>13</xdr:row>
      <xdr:rowOff>57150</xdr:rowOff>
    </xdr:to>
    <xdr:sp>
      <xdr:nvSpPr>
        <xdr:cNvPr id="15" name="Connecteur droit avec flèche 27"/>
        <xdr:cNvSpPr>
          <a:spLocks/>
        </xdr:cNvSpPr>
      </xdr:nvSpPr>
      <xdr:spPr>
        <a:xfrm flipV="1">
          <a:off x="304800" y="2324100"/>
          <a:ext cx="247650" cy="2762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48</xdr:row>
      <xdr:rowOff>57150</xdr:rowOff>
    </xdr:from>
    <xdr:to>
      <xdr:col>3</xdr:col>
      <xdr:colOff>161925</xdr:colOff>
      <xdr:row>52</xdr:row>
      <xdr:rowOff>28575</xdr:rowOff>
    </xdr:to>
    <xdr:sp>
      <xdr:nvSpPr>
        <xdr:cNvPr id="16" name="ZoneTexte 29"/>
        <xdr:cNvSpPr txBox="1">
          <a:spLocks noChangeArrowheads="1"/>
        </xdr:cNvSpPr>
      </xdr:nvSpPr>
      <xdr:spPr>
        <a:xfrm>
          <a:off x="1104900" y="9372600"/>
          <a:ext cx="1352550" cy="733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sng" baseline="0">
              <a:solidFill>
                <a:srgbClr val="000000"/>
              </a:solidFill>
              <a:latin typeface="Calibri"/>
              <a:ea typeface="Calibri"/>
              <a:cs typeface="Calibri"/>
            </a:rPr>
            <a:t>Zones de transports</a:t>
          </a:r>
        </a:p>
      </xdr:txBody>
    </xdr:sp>
    <xdr:clientData/>
  </xdr:twoCellAnchor>
  <xdr:twoCellAnchor>
    <xdr:from>
      <xdr:col>3</xdr:col>
      <xdr:colOff>133350</xdr:colOff>
      <xdr:row>52</xdr:row>
      <xdr:rowOff>28575</xdr:rowOff>
    </xdr:from>
    <xdr:to>
      <xdr:col>3</xdr:col>
      <xdr:colOff>1076325</xdr:colOff>
      <xdr:row>58</xdr:row>
      <xdr:rowOff>66675</xdr:rowOff>
    </xdr:to>
    <xdr:sp>
      <xdr:nvSpPr>
        <xdr:cNvPr id="17" name="Connecteur droit avec flèche 30"/>
        <xdr:cNvSpPr>
          <a:spLocks/>
        </xdr:cNvSpPr>
      </xdr:nvSpPr>
      <xdr:spPr>
        <a:xfrm>
          <a:off x="2428875" y="10106025"/>
          <a:ext cx="942975" cy="11811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561975</xdr:colOff>
      <xdr:row>54</xdr:row>
      <xdr:rowOff>161925</xdr:rowOff>
    </xdr:from>
    <xdr:to>
      <xdr:col>13</xdr:col>
      <xdr:colOff>238125</xdr:colOff>
      <xdr:row>66</xdr:row>
      <xdr:rowOff>57150</xdr:rowOff>
    </xdr:to>
    <xdr:sp>
      <xdr:nvSpPr>
        <xdr:cNvPr id="18" name="ZoneTexte 18"/>
        <xdr:cNvSpPr txBox="1">
          <a:spLocks noChangeArrowheads="1"/>
        </xdr:cNvSpPr>
      </xdr:nvSpPr>
      <xdr:spPr>
        <a:xfrm>
          <a:off x="5848350" y="10620375"/>
          <a:ext cx="5476875" cy="218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1" i="0" u="none" baseline="0">
              <a:solidFill>
                <a:srgbClr val="FF0000"/>
              </a:solidFill>
              <a:latin typeface="Calibri"/>
              <a:ea typeface="Calibri"/>
              <a:cs typeface="Calibri"/>
            </a:rPr>
            <a:t>Fonctions ajoutées: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"PAR MOIS EN +"</a:t>
          </a:r>
          <a:r>
            <a:rPr lang="en-US" cap="none" sz="1100" b="1" i="0" u="none" baseline="0">
              <a:solidFill>
                <a:srgbClr val="000000"/>
              </a:solidFill>
              <a:latin typeface="Calibri"/>
              <a:ea typeface="Calibri"/>
              <a:cs typeface="Calibri"/>
            </a:rPr>
            <a:t>: si le Xième mois est égal à 12: la case "par mois en +" = 0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Si  "tx H" est entre 0,01 et 9,76 (smic horaire), la case devient rouge pour ALERTER
</a:t>
          </a:r>
          <a:r>
            <a:rPr lang="en-US" cap="none" sz="1100" b="1" i="0" u="none" baseline="0">
              <a:solidFill>
                <a:srgbClr val="000000"/>
              </a:solidFill>
              <a:latin typeface="Calibri"/>
              <a:ea typeface="Calibri"/>
              <a:cs typeface="Calibri"/>
            </a:rPr>
            <a:t>--&gt; J'ai pris 0,01 pour éviter qu'elle ne soit rouge tout le temps en l'absence de données</a:t>
          </a:r>
        </a:p>
      </xdr:txBody>
    </xdr:sp>
    <xdr:clientData/>
  </xdr:twoCellAnchor>
  <xdr:twoCellAnchor>
    <xdr:from>
      <xdr:col>14</xdr:col>
      <xdr:colOff>352425</xdr:colOff>
      <xdr:row>9</xdr:row>
      <xdr:rowOff>114300</xdr:rowOff>
    </xdr:from>
    <xdr:to>
      <xdr:col>16</xdr:col>
      <xdr:colOff>409575</xdr:colOff>
      <xdr:row>13</xdr:row>
      <xdr:rowOff>57150</xdr:rowOff>
    </xdr:to>
    <xdr:sp>
      <xdr:nvSpPr>
        <xdr:cNvPr id="19" name="ZoneTexte 21"/>
        <xdr:cNvSpPr txBox="1">
          <a:spLocks noChangeArrowheads="1"/>
        </xdr:cNvSpPr>
      </xdr:nvSpPr>
      <xdr:spPr>
        <a:xfrm>
          <a:off x="12201525" y="1876425"/>
          <a:ext cx="1581150" cy="723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ZONE</a:t>
          </a:r>
          <a:r>
            <a:rPr lang="en-US" cap="none" sz="1100" b="1" i="0" u="none" baseline="0">
              <a:solidFill>
                <a:srgbClr val="000000"/>
              </a:solidFill>
              <a:latin typeface="Calibri"/>
              <a:ea typeface="Calibri"/>
              <a:cs typeface="Calibri"/>
            </a:rPr>
            <a:t> REPAS</a:t>
          </a:r>
        </a:p>
      </xdr:txBody>
    </xdr:sp>
    <xdr:clientData/>
  </xdr:twoCellAnchor>
  <xdr:twoCellAnchor>
    <xdr:from>
      <xdr:col>15</xdr:col>
      <xdr:colOff>352425</xdr:colOff>
      <xdr:row>7</xdr:row>
      <xdr:rowOff>123825</xdr:rowOff>
    </xdr:from>
    <xdr:to>
      <xdr:col>15</xdr:col>
      <xdr:colOff>409575</xdr:colOff>
      <xdr:row>9</xdr:row>
      <xdr:rowOff>104775</xdr:rowOff>
    </xdr:to>
    <xdr:sp>
      <xdr:nvSpPr>
        <xdr:cNvPr id="20" name="Connecteur droit avec flèche 25"/>
        <xdr:cNvSpPr>
          <a:spLocks/>
        </xdr:cNvSpPr>
      </xdr:nvSpPr>
      <xdr:spPr>
        <a:xfrm flipV="1">
          <a:off x="12963525" y="1504950"/>
          <a:ext cx="57150" cy="3619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619125</xdr:colOff>
      <xdr:row>14</xdr:row>
      <xdr:rowOff>200025</xdr:rowOff>
    </xdr:from>
    <xdr:to>
      <xdr:col>15</xdr:col>
      <xdr:colOff>685800</xdr:colOff>
      <xdr:row>18</xdr:row>
      <xdr:rowOff>123825</xdr:rowOff>
    </xdr:to>
    <xdr:sp>
      <xdr:nvSpPr>
        <xdr:cNvPr id="21" name="ZoneTexte 28"/>
        <xdr:cNvSpPr txBox="1">
          <a:spLocks noChangeArrowheads="1"/>
        </xdr:cNvSpPr>
      </xdr:nvSpPr>
      <xdr:spPr>
        <a:xfrm>
          <a:off x="11706225" y="2943225"/>
          <a:ext cx="1590675" cy="723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CRENEAU HORAIRE</a:t>
          </a:r>
        </a:p>
      </xdr:txBody>
    </xdr:sp>
    <xdr:clientData/>
  </xdr:twoCellAnchor>
  <xdr:twoCellAnchor>
    <xdr:from>
      <xdr:col>15</xdr:col>
      <xdr:colOff>685800</xdr:colOff>
      <xdr:row>15</xdr:row>
      <xdr:rowOff>47625</xdr:rowOff>
    </xdr:from>
    <xdr:to>
      <xdr:col>16</xdr:col>
      <xdr:colOff>438150</xdr:colOff>
      <xdr:row>16</xdr:row>
      <xdr:rowOff>28575</xdr:rowOff>
    </xdr:to>
    <xdr:sp>
      <xdr:nvSpPr>
        <xdr:cNvPr id="22" name="Connecteur droit avec flèche 31"/>
        <xdr:cNvSpPr>
          <a:spLocks/>
        </xdr:cNvSpPr>
      </xdr:nvSpPr>
      <xdr:spPr>
        <a:xfrm>
          <a:off x="13296900" y="3000375"/>
          <a:ext cx="514350" cy="1905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mpo\partages\Users\utilisateur15\AppData\Local\Microsoft\Windows\Temporary%20Internet%20Files\Content.Outlook\DOTG91DF\HEURES%202012%20-%20SYNTE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 D'EMPLOI"/>
      <sheetName val="Janvier"/>
      <sheetName val="Février"/>
      <sheetName val="Mars"/>
      <sheetName val="Avril"/>
      <sheetName val="Mai"/>
      <sheetName val="Juin"/>
      <sheetName val="Juillet"/>
      <sheetName val="Août"/>
      <sheetName val="Septembre"/>
      <sheetName val="Octobre"/>
      <sheetName val="Novembre"/>
      <sheetName val="Décembre"/>
      <sheetName val="GRAPHIQUE 2012"/>
      <sheetName val="RECAPITULATIF 2012"/>
      <sheetName val="Calendrier annuel 2012"/>
      <sheetName val="DONNEES"/>
    </sheetNames>
    <sheetDataSet>
      <sheetData sheetId="16">
        <row r="1">
          <cell r="A1" t="str">
            <v>   </v>
          </cell>
        </row>
        <row r="2">
          <cell r="A2" t="str">
            <v>Repos</v>
          </cell>
        </row>
        <row r="3">
          <cell r="A3" t="str">
            <v>Maladie</v>
          </cell>
        </row>
        <row r="4">
          <cell r="A4" t="str">
            <v>CP</v>
          </cell>
        </row>
        <row r="5">
          <cell r="A5" t="str">
            <v>Férié</v>
          </cell>
        </row>
        <row r="6">
          <cell r="A6" t="str">
            <v>ABS</v>
          </cell>
        </row>
      </sheetData>
    </sheetDataSet>
  </externalBook>
</externalLink>
</file>

<file path=xl/tables/table1.xml><?xml version="1.0" encoding="utf-8"?>
<table xmlns="http://schemas.openxmlformats.org/spreadsheetml/2006/main" id="3" name="Tableau3" displayName="Tableau3" ref="D1:D14" comment="" totalsRowShown="0">
  <autoFilter ref="D1:D14"/>
  <tableColumns count="1">
    <tableColumn id="1" name="Colonne1"/>
  </tableColumns>
  <tableStyleInfo name="TableStyleMedium9" showFirstColumn="0" showLastColumn="0" showRowStripes="1" showColumnStripes="0"/>
</table>
</file>

<file path=xl/tables/table2.xml><?xml version="1.0" encoding="utf-8"?>
<table xmlns="http://schemas.openxmlformats.org/spreadsheetml/2006/main" id="1" name="Tableau1" displayName="Tableau1" ref="B3:B13" comment="" totalsRowShown="0">
  <autoFilter ref="B3:B13"/>
  <tableColumns count="1">
    <tableColumn id="1" name="Colonne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ue.urssaf.fr/declarant/index.js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2:Y82"/>
  <sheetViews>
    <sheetView showGridLines="0" showRowColHeaders="0" tabSelected="1" workbookViewId="0" topLeftCell="A1">
      <selection activeCell="C11" sqref="C11:F11"/>
    </sheetView>
  </sheetViews>
  <sheetFormatPr defaultColWidth="11.421875" defaultRowHeight="15"/>
  <cols>
    <col min="1" max="1" width="4.140625" style="1" customWidth="1"/>
    <col min="2" max="2" width="15.00390625" style="1" customWidth="1"/>
    <col min="3" max="3" width="8.57421875" style="1" customWidth="1"/>
    <col min="4" max="4" width="5.7109375" style="1" customWidth="1"/>
    <col min="5" max="5" width="6.7109375" style="1" customWidth="1"/>
    <col min="6" max="6" width="7.7109375" style="1" customWidth="1"/>
    <col min="7" max="7" width="6.8515625" style="1" customWidth="1"/>
    <col min="8" max="8" width="3.28125" style="1" customWidth="1"/>
    <col min="9" max="9" width="6.140625" style="1" customWidth="1"/>
    <col min="10" max="10" width="6.00390625" style="1" customWidth="1"/>
    <col min="11" max="11" width="8.140625" style="1" customWidth="1"/>
    <col min="12" max="12" width="1.28515625" style="1" customWidth="1"/>
    <col min="13" max="13" width="6.421875" style="1" customWidth="1"/>
    <col min="14" max="14" width="0.71875" style="1" customWidth="1"/>
    <col min="15" max="15" width="7.421875" style="1" customWidth="1"/>
    <col min="16" max="16" width="6.421875" style="1" customWidth="1"/>
    <col min="17" max="17" width="1.28515625" style="1" hidden="1" customWidth="1"/>
    <col min="18" max="18" width="6.140625" style="1" customWidth="1"/>
    <col min="19" max="19" width="0.5625" style="1" customWidth="1"/>
    <col min="20" max="20" width="7.8515625" style="1" customWidth="1"/>
    <col min="21" max="21" width="7.421875" style="1" customWidth="1"/>
    <col min="22" max="22" width="6.7109375" style="1" customWidth="1"/>
    <col min="23" max="16384" width="11.421875" style="1" customWidth="1"/>
  </cols>
  <sheetData>
    <row r="1" ht="3" customHeight="1"/>
    <row r="2" spans="2:21" ht="22.5" customHeight="1">
      <c r="B2" s="317" t="s">
        <v>217</v>
      </c>
      <c r="C2" s="317"/>
      <c r="D2" s="317"/>
      <c r="E2" s="317"/>
      <c r="F2" s="317"/>
      <c r="G2" s="317"/>
      <c r="H2" s="317"/>
      <c r="I2" s="317"/>
      <c r="J2" s="317"/>
      <c r="K2" s="317"/>
      <c r="L2" s="317"/>
      <c r="M2" s="317"/>
      <c r="N2" s="317"/>
      <c r="O2" s="317"/>
      <c r="P2" s="317"/>
      <c r="Q2" s="317"/>
      <c r="R2" s="317"/>
      <c r="S2" s="317"/>
      <c r="T2" s="317"/>
      <c r="U2" s="317"/>
    </row>
    <row r="3" spans="2:21" ht="23.25" customHeight="1">
      <c r="B3" s="365" t="s">
        <v>223</v>
      </c>
      <c r="C3" s="365"/>
      <c r="D3" s="7"/>
      <c r="E3" s="7"/>
      <c r="F3" s="7"/>
      <c r="G3" s="7"/>
      <c r="H3" s="7"/>
      <c r="I3" s="7"/>
      <c r="J3" s="7"/>
      <c r="T3" s="48"/>
      <c r="U3" s="48"/>
    </row>
    <row r="4" spans="2:21" ht="8.25" customHeight="1">
      <c r="B4" s="365"/>
      <c r="C4" s="365"/>
      <c r="D4" s="7"/>
      <c r="E4" s="7"/>
      <c r="F4" s="7"/>
      <c r="G4" s="7"/>
      <c r="H4" s="7"/>
      <c r="I4" s="295" t="s">
        <v>190</v>
      </c>
      <c r="J4" s="295"/>
      <c r="T4" s="48"/>
      <c r="U4" s="48"/>
    </row>
    <row r="5" spans="2:21" ht="17.25" customHeight="1">
      <c r="B5" s="365"/>
      <c r="C5" s="365"/>
      <c r="D5" s="7"/>
      <c r="E5" s="7"/>
      <c r="F5" s="7"/>
      <c r="G5" s="7"/>
      <c r="H5" s="7"/>
      <c r="I5" s="295"/>
      <c r="J5" s="295"/>
      <c r="M5" s="95"/>
      <c r="N5" s="95"/>
      <c r="O5" s="328" t="s">
        <v>71</v>
      </c>
      <c r="P5" s="328"/>
      <c r="Q5" s="328"/>
      <c r="R5" s="328"/>
      <c r="S5" s="121"/>
      <c r="T5" s="321">
        <f ca="1">TODAY()</f>
        <v>43601</v>
      </c>
      <c r="U5" s="321"/>
    </row>
    <row r="6" spans="2:21" ht="2.25" customHeight="1">
      <c r="B6" s="7"/>
      <c r="C6" s="7"/>
      <c r="D6" s="7"/>
      <c r="E6" s="7"/>
      <c r="F6" s="7"/>
      <c r="G6" s="7"/>
      <c r="H6" s="7"/>
      <c r="I6" s="7"/>
      <c r="J6" s="7"/>
      <c r="T6" s="48"/>
      <c r="U6" s="48"/>
    </row>
    <row r="7" spans="2:21" ht="2.25" customHeight="1">
      <c r="B7" s="7"/>
      <c r="C7" s="7"/>
      <c r="D7" s="7"/>
      <c r="E7" s="7"/>
      <c r="F7" s="7"/>
      <c r="G7" s="7"/>
      <c r="H7" s="7"/>
      <c r="I7" s="7"/>
      <c r="J7" s="7"/>
      <c r="T7" s="48"/>
      <c r="U7" s="48"/>
    </row>
    <row r="8" spans="2:21" ht="6" customHeight="1" hidden="1">
      <c r="B8" s="7"/>
      <c r="C8" s="7"/>
      <c r="D8" s="7"/>
      <c r="E8" s="7"/>
      <c r="F8" s="7"/>
      <c r="G8" s="7"/>
      <c r="H8" s="7"/>
      <c r="I8" s="7"/>
      <c r="J8" s="7"/>
      <c r="T8" s="48"/>
      <c r="U8" s="48"/>
    </row>
    <row r="9" spans="2:21" ht="22.5" customHeight="1">
      <c r="B9" s="281" t="s">
        <v>66</v>
      </c>
      <c r="C9" s="282"/>
      <c r="D9" s="282"/>
      <c r="E9" s="282"/>
      <c r="F9" s="282"/>
      <c r="G9" s="282"/>
      <c r="H9" s="282"/>
      <c r="I9" s="282"/>
      <c r="J9" s="282"/>
      <c r="K9" s="283"/>
      <c r="L9" s="283"/>
      <c r="M9" s="283"/>
      <c r="N9" s="283"/>
      <c r="O9" s="283"/>
      <c r="P9" s="283"/>
      <c r="Q9" s="283"/>
      <c r="R9" s="283"/>
      <c r="S9" s="283"/>
      <c r="T9" s="283"/>
      <c r="U9" s="283"/>
    </row>
    <row r="10" spans="2:10" ht="10.5" customHeight="1" thickBot="1">
      <c r="B10" s="7"/>
      <c r="C10" s="7"/>
      <c r="D10" s="7"/>
      <c r="E10" s="7"/>
      <c r="F10" s="7"/>
      <c r="G10" s="7"/>
      <c r="H10" s="7"/>
      <c r="I10" s="7"/>
      <c r="J10" s="7"/>
    </row>
    <row r="11" spans="2:21" ht="16.5" customHeight="1" thickBot="1">
      <c r="B11" s="81" t="s">
        <v>50</v>
      </c>
      <c r="C11" s="318"/>
      <c r="D11" s="319"/>
      <c r="E11" s="319"/>
      <c r="F11" s="320"/>
      <c r="G11" s="122"/>
      <c r="H11" s="123"/>
      <c r="I11" s="123"/>
      <c r="J11" s="302" t="s">
        <v>80</v>
      </c>
      <c r="K11" s="303"/>
      <c r="L11" s="299"/>
      <c r="M11" s="300"/>
      <c r="N11" s="300"/>
      <c r="O11" s="300"/>
      <c r="P11" s="300"/>
      <c r="Q11" s="300"/>
      <c r="R11" s="300"/>
      <c r="S11" s="300"/>
      <c r="T11" s="300"/>
      <c r="U11" s="301"/>
    </row>
    <row r="12" spans="2:10" ht="10.5" customHeight="1">
      <c r="B12" s="7"/>
      <c r="C12" s="7"/>
      <c r="D12" s="7"/>
      <c r="E12" s="7"/>
      <c r="F12" s="7"/>
      <c r="G12" s="7"/>
      <c r="H12" s="7"/>
      <c r="I12" s="7"/>
      <c r="J12" s="7"/>
    </row>
    <row r="13" spans="1:21" ht="21.75" customHeight="1">
      <c r="A13" s="57"/>
      <c r="B13" s="281" t="s">
        <v>54</v>
      </c>
      <c r="C13" s="282"/>
      <c r="D13" s="282"/>
      <c r="E13" s="282"/>
      <c r="F13" s="282"/>
      <c r="G13" s="282"/>
      <c r="H13" s="282"/>
      <c r="I13" s="282"/>
      <c r="J13" s="282"/>
      <c r="K13" s="283"/>
      <c r="L13" s="283"/>
      <c r="M13" s="283"/>
      <c r="N13" s="283"/>
      <c r="O13" s="283"/>
      <c r="P13" s="283"/>
      <c r="Q13" s="283"/>
      <c r="R13" s="283"/>
      <c r="S13" s="283"/>
      <c r="T13" s="283"/>
      <c r="U13" s="283"/>
    </row>
    <row r="14" spans="1:10" ht="8.25" customHeight="1">
      <c r="A14" s="57"/>
      <c r="B14" s="58"/>
      <c r="C14" s="7"/>
      <c r="D14" s="7"/>
      <c r="E14" s="7"/>
      <c r="F14" s="7"/>
      <c r="G14" s="7"/>
      <c r="H14" s="7"/>
      <c r="I14" s="7"/>
      <c r="J14" s="7"/>
    </row>
    <row r="15" spans="1:19" ht="3.75" customHeight="1" thickBot="1">
      <c r="A15" s="48"/>
      <c r="B15" s="7"/>
      <c r="C15" s="7"/>
      <c r="D15" s="7"/>
      <c r="E15" s="56"/>
      <c r="F15" s="56"/>
      <c r="G15" s="56"/>
      <c r="H15" s="56"/>
      <c r="I15" s="56"/>
      <c r="J15" s="56"/>
      <c r="K15" s="48"/>
      <c r="L15" s="48"/>
      <c r="M15" s="48"/>
      <c r="N15" s="48"/>
      <c r="O15" s="48"/>
      <c r="P15" s="48"/>
      <c r="Q15" s="48"/>
      <c r="R15" s="48"/>
      <c r="S15" s="48"/>
    </row>
    <row r="16" spans="1:21" ht="18" customHeight="1" thickBot="1">
      <c r="A16" s="48"/>
      <c r="B16" s="81" t="s">
        <v>52</v>
      </c>
      <c r="C16" s="59"/>
      <c r="D16" s="7"/>
      <c r="E16" s="307"/>
      <c r="F16" s="308"/>
      <c r="G16" s="308"/>
      <c r="H16" s="308"/>
      <c r="I16" s="308"/>
      <c r="J16" s="308"/>
      <c r="K16" s="308"/>
      <c r="L16" s="308"/>
      <c r="M16" s="308"/>
      <c r="N16" s="308"/>
      <c r="O16" s="308"/>
      <c r="P16" s="308"/>
      <c r="Q16" s="308"/>
      <c r="R16" s="308"/>
      <c r="S16" s="308"/>
      <c r="T16" s="308"/>
      <c r="U16" s="309"/>
    </row>
    <row r="17" spans="2:21" ht="18" customHeight="1" thickBot="1">
      <c r="B17" s="81" t="s">
        <v>53</v>
      </c>
      <c r="C17" s="59"/>
      <c r="D17" s="7"/>
      <c r="E17" s="307"/>
      <c r="F17" s="308"/>
      <c r="G17" s="308"/>
      <c r="H17" s="308"/>
      <c r="I17" s="308"/>
      <c r="J17" s="308"/>
      <c r="K17" s="308"/>
      <c r="L17" s="308"/>
      <c r="M17" s="308"/>
      <c r="N17" s="308"/>
      <c r="O17" s="308"/>
      <c r="P17" s="308"/>
      <c r="Q17" s="308"/>
      <c r="R17" s="308"/>
      <c r="S17" s="308"/>
      <c r="T17" s="308"/>
      <c r="U17" s="309"/>
    </row>
    <row r="18" spans="2:21" ht="19.5" customHeight="1" thickBot="1">
      <c r="B18" s="81" t="s">
        <v>82</v>
      </c>
      <c r="C18" s="59"/>
      <c r="D18" s="7"/>
      <c r="E18" s="307"/>
      <c r="F18" s="308"/>
      <c r="G18" s="308"/>
      <c r="H18" s="308"/>
      <c r="I18" s="308"/>
      <c r="J18" s="308"/>
      <c r="K18" s="308"/>
      <c r="L18" s="308"/>
      <c r="M18" s="308"/>
      <c r="N18" s="308"/>
      <c r="O18" s="308"/>
      <c r="P18" s="308"/>
      <c r="Q18" s="308"/>
      <c r="R18" s="308"/>
      <c r="S18" s="308"/>
      <c r="T18" s="308"/>
      <c r="U18" s="309"/>
    </row>
    <row r="19" spans="2:21" ht="18" customHeight="1" thickBot="1">
      <c r="B19" s="81" t="s">
        <v>67</v>
      </c>
      <c r="C19" s="59"/>
      <c r="D19" s="7"/>
      <c r="E19" s="307"/>
      <c r="F19" s="308"/>
      <c r="G19" s="308"/>
      <c r="H19" s="308"/>
      <c r="I19" s="308"/>
      <c r="J19" s="308"/>
      <c r="K19" s="308"/>
      <c r="L19" s="308"/>
      <c r="M19" s="308"/>
      <c r="N19" s="308"/>
      <c r="O19" s="308"/>
      <c r="P19" s="308"/>
      <c r="Q19" s="308"/>
      <c r="R19" s="308"/>
      <c r="S19" s="308"/>
      <c r="T19" s="308"/>
      <c r="U19" s="309"/>
    </row>
    <row r="20" spans="2:10" ht="9" customHeight="1">
      <c r="B20" s="14"/>
      <c r="C20" s="7"/>
      <c r="D20" s="7"/>
      <c r="E20" s="7"/>
      <c r="F20" s="7"/>
      <c r="G20" s="7"/>
      <c r="H20" s="7"/>
      <c r="I20" s="7"/>
      <c r="J20" s="7"/>
    </row>
    <row r="21" spans="2:10" ht="7.5" customHeight="1">
      <c r="B21" s="14"/>
      <c r="C21" s="7"/>
      <c r="D21" s="7"/>
      <c r="E21" s="7"/>
      <c r="F21" s="7"/>
      <c r="G21" s="7"/>
      <c r="H21" s="7"/>
      <c r="I21" s="7"/>
      <c r="J21" s="7"/>
    </row>
    <row r="22" spans="1:25" ht="22.5" customHeight="1">
      <c r="A22" s="57"/>
      <c r="B22" s="281" t="s">
        <v>56</v>
      </c>
      <c r="C22" s="282"/>
      <c r="D22" s="282"/>
      <c r="E22" s="282"/>
      <c r="F22" s="282"/>
      <c r="G22" s="282"/>
      <c r="H22" s="282"/>
      <c r="I22" s="282"/>
      <c r="J22" s="282"/>
      <c r="K22" s="283"/>
      <c r="L22" s="283"/>
      <c r="M22" s="283"/>
      <c r="N22" s="283"/>
      <c r="O22" s="283"/>
      <c r="P22" s="283"/>
      <c r="Q22" s="283"/>
      <c r="R22" s="283"/>
      <c r="S22" s="283"/>
      <c r="T22" s="283"/>
      <c r="U22" s="283"/>
      <c r="Y22"/>
    </row>
    <row r="23" spans="2:10" ht="15.75" customHeight="1" thickBot="1">
      <c r="B23" s="7"/>
      <c r="C23" s="7"/>
      <c r="D23" s="7"/>
      <c r="E23" s="7"/>
      <c r="F23" s="7"/>
      <c r="G23" s="7"/>
      <c r="H23" s="7"/>
      <c r="I23" s="7"/>
      <c r="J23" s="7"/>
    </row>
    <row r="24" spans="2:10" ht="15" customHeight="1" thickBot="1">
      <c r="B24" s="81" t="s">
        <v>55</v>
      </c>
      <c r="C24" s="330"/>
      <c r="D24" s="308"/>
      <c r="E24" s="308"/>
      <c r="F24" s="308"/>
      <c r="G24" s="308"/>
      <c r="H24" s="308"/>
      <c r="I24" s="309"/>
      <c r="J24" s="7"/>
    </row>
    <row r="25" spans="2:10" ht="12.75" customHeight="1">
      <c r="B25" s="7"/>
      <c r="C25" s="7"/>
      <c r="D25" s="7"/>
      <c r="E25" s="7"/>
      <c r="F25" s="7"/>
      <c r="G25" s="7"/>
      <c r="H25" s="7"/>
      <c r="I25" s="7"/>
      <c r="J25" s="7"/>
    </row>
    <row r="26" spans="2:21" ht="15" customHeight="1">
      <c r="B26" s="292"/>
      <c r="C26" s="292"/>
      <c r="D26" s="292"/>
      <c r="E26" s="292"/>
      <c r="F26" s="292"/>
      <c r="G26" s="292"/>
      <c r="H26" s="292"/>
      <c r="I26" s="292"/>
      <c r="J26" s="292"/>
      <c r="K26" s="292"/>
      <c r="L26" s="292"/>
      <c r="M26" s="292"/>
      <c r="N26" s="292"/>
      <c r="O26" s="292"/>
      <c r="P26" s="292"/>
      <c r="Q26" s="292"/>
      <c r="R26" s="292"/>
      <c r="S26" s="292"/>
      <c r="T26" s="292"/>
      <c r="U26" s="119"/>
    </row>
    <row r="27" spans="2:21" ht="15" customHeight="1">
      <c r="B27" s="292"/>
      <c r="C27" s="292"/>
      <c r="D27" s="292"/>
      <c r="E27" s="292"/>
      <c r="F27" s="292"/>
      <c r="G27" s="292"/>
      <c r="H27" s="292"/>
      <c r="I27" s="292"/>
      <c r="J27" s="292"/>
      <c r="K27" s="292"/>
      <c r="L27" s="292"/>
      <c r="M27" s="292"/>
      <c r="N27" s="292"/>
      <c r="O27" s="292"/>
      <c r="P27" s="292"/>
      <c r="Q27" s="292"/>
      <c r="R27" s="292"/>
      <c r="S27" s="292"/>
      <c r="T27" s="292"/>
      <c r="U27" s="119"/>
    </row>
    <row r="28" spans="2:25" ht="15" customHeight="1">
      <c r="B28" s="292"/>
      <c r="C28" s="292"/>
      <c r="D28" s="292"/>
      <c r="E28" s="292"/>
      <c r="F28" s="292"/>
      <c r="G28" s="292"/>
      <c r="H28" s="292"/>
      <c r="I28" s="292"/>
      <c r="J28" s="292"/>
      <c r="K28" s="292"/>
      <c r="L28" s="292"/>
      <c r="M28" s="292"/>
      <c r="N28" s="292"/>
      <c r="O28" s="292"/>
      <c r="P28" s="292"/>
      <c r="Q28" s="292"/>
      <c r="R28" s="292"/>
      <c r="S28" s="292"/>
      <c r="T28" s="292"/>
      <c r="U28" s="119"/>
      <c r="Y28" s="88"/>
    </row>
    <row r="29" spans="2:21" ht="12.75" customHeight="1">
      <c r="B29" s="292"/>
      <c r="C29" s="292"/>
      <c r="D29" s="292"/>
      <c r="E29" s="292"/>
      <c r="F29" s="292"/>
      <c r="G29" s="292"/>
      <c r="H29" s="292"/>
      <c r="I29" s="292"/>
      <c r="J29" s="292"/>
      <c r="K29" s="292"/>
      <c r="L29" s="292"/>
      <c r="M29" s="292"/>
      <c r="N29" s="292"/>
      <c r="O29" s="292"/>
      <c r="P29" s="292"/>
      <c r="Q29" s="292"/>
      <c r="R29" s="292"/>
      <c r="S29" s="292"/>
      <c r="T29" s="292"/>
      <c r="U29" s="119"/>
    </row>
    <row r="30" spans="2:21" ht="12.75" customHeight="1" hidden="1">
      <c r="B30" s="292"/>
      <c r="C30" s="292"/>
      <c r="D30" s="292"/>
      <c r="E30" s="292"/>
      <c r="F30" s="292"/>
      <c r="G30" s="292"/>
      <c r="H30" s="292"/>
      <c r="I30" s="292"/>
      <c r="J30" s="292"/>
      <c r="K30" s="292"/>
      <c r="L30" s="292"/>
      <c r="M30" s="292"/>
      <c r="N30" s="292"/>
      <c r="O30" s="292"/>
      <c r="P30" s="292"/>
      <c r="Q30" s="292"/>
      <c r="R30" s="292"/>
      <c r="S30" s="292"/>
      <c r="T30" s="292"/>
      <c r="U30" s="119"/>
    </row>
    <row r="31" spans="2:21" ht="12.75" customHeight="1">
      <c r="B31" s="292"/>
      <c r="C31" s="292"/>
      <c r="D31" s="292"/>
      <c r="E31" s="292"/>
      <c r="F31" s="292"/>
      <c r="G31" s="292"/>
      <c r="H31" s="292"/>
      <c r="I31" s="292"/>
      <c r="J31" s="292"/>
      <c r="K31" s="292"/>
      <c r="L31" s="292"/>
      <c r="M31" s="292"/>
      <c r="N31" s="292"/>
      <c r="O31" s="292"/>
      <c r="P31" s="292"/>
      <c r="Q31" s="292"/>
      <c r="R31" s="292"/>
      <c r="S31" s="292"/>
      <c r="T31" s="292"/>
      <c r="U31" s="119"/>
    </row>
    <row r="32" spans="2:21" ht="9" customHeight="1">
      <c r="B32" s="292"/>
      <c r="C32" s="292"/>
      <c r="D32" s="292"/>
      <c r="E32" s="292"/>
      <c r="F32" s="292"/>
      <c r="G32" s="292"/>
      <c r="H32" s="292"/>
      <c r="I32" s="292"/>
      <c r="J32" s="292"/>
      <c r="K32" s="292"/>
      <c r="L32" s="292"/>
      <c r="M32" s="292"/>
      <c r="N32" s="292"/>
      <c r="O32" s="292"/>
      <c r="P32" s="292"/>
      <c r="Q32" s="292"/>
      <c r="R32" s="292"/>
      <c r="S32" s="292"/>
      <c r="T32" s="292"/>
      <c r="U32" s="119"/>
    </row>
    <row r="33" spans="2:10" ht="14.25" customHeight="1">
      <c r="B33" s="9"/>
      <c r="C33" s="9"/>
      <c r="D33" s="9"/>
      <c r="E33" s="9"/>
      <c r="F33" s="9"/>
      <c r="I33" s="9"/>
      <c r="J33" s="9"/>
    </row>
    <row r="34" spans="2:10" ht="14.25" customHeight="1">
      <c r="B34" s="62" t="s">
        <v>57</v>
      </c>
      <c r="E34" s="9"/>
      <c r="F34" s="290" t="s">
        <v>189</v>
      </c>
      <c r="G34" s="290"/>
      <c r="I34" s="9"/>
      <c r="J34" s="9"/>
    </row>
    <row r="35" spans="2:10" ht="14.25" customHeight="1" thickBot="1">
      <c r="B35" s="9"/>
      <c r="C35" s="9"/>
      <c r="D35" s="9"/>
      <c r="E35" s="9"/>
      <c r="F35" s="9"/>
      <c r="G35" s="9"/>
      <c r="H35" s="9"/>
      <c r="I35" s="9"/>
      <c r="J35" s="9"/>
    </row>
    <row r="36" spans="2:21" ht="16.5" customHeight="1" thickBot="1">
      <c r="B36" s="83" t="s">
        <v>58</v>
      </c>
      <c r="C36" s="84"/>
      <c r="D36" s="296"/>
      <c r="E36" s="297"/>
      <c r="F36" s="297"/>
      <c r="G36" s="297"/>
      <c r="H36" s="297"/>
      <c r="I36" s="298"/>
      <c r="K36" s="82"/>
      <c r="L36" s="86"/>
      <c r="M36" s="86"/>
      <c r="N36" s="86"/>
      <c r="O36" s="124"/>
      <c r="P36" s="331" t="s">
        <v>81</v>
      </c>
      <c r="Q36" s="331"/>
      <c r="R36" s="331"/>
      <c r="S36" s="101"/>
      <c r="T36" s="85">
        <v>35</v>
      </c>
      <c r="U36" s="69" t="s">
        <v>77</v>
      </c>
    </row>
    <row r="37" spans="2:9" ht="15.75" customHeight="1" thickBot="1">
      <c r="B37" s="62" t="s">
        <v>59</v>
      </c>
      <c r="C37" s="84"/>
      <c r="D37" s="304"/>
      <c r="E37" s="305"/>
      <c r="F37" s="305"/>
      <c r="G37" s="305"/>
      <c r="H37" s="305"/>
      <c r="I37" s="306"/>
    </row>
    <row r="38" spans="2:21" ht="14.25" customHeight="1" thickBot="1">
      <c r="B38" s="68"/>
      <c r="C38" s="60"/>
      <c r="D38" s="60"/>
      <c r="E38" s="60"/>
      <c r="F38" s="60"/>
      <c r="G38" s="60"/>
      <c r="H38" s="60"/>
      <c r="I38" s="60"/>
      <c r="J38" s="60"/>
      <c r="K38" s="63"/>
      <c r="L38" s="63"/>
      <c r="M38" s="63"/>
      <c r="N38" s="63"/>
      <c r="O38" s="63"/>
      <c r="P38" s="91"/>
      <c r="Q38" s="92"/>
      <c r="S38" s="102"/>
      <c r="T38" s="93"/>
      <c r="U38" s="91"/>
    </row>
    <row r="39" spans="2:21" ht="14.25" customHeight="1" thickBot="1">
      <c r="B39" s="65" t="s">
        <v>68</v>
      </c>
      <c r="C39" s="67"/>
      <c r="D39" s="324"/>
      <c r="E39" s="325"/>
      <c r="F39" s="325"/>
      <c r="G39" s="325"/>
      <c r="H39" s="325"/>
      <c r="I39" s="326"/>
      <c r="J39" s="60"/>
      <c r="K39" s="63"/>
      <c r="L39" s="63"/>
      <c r="M39" s="63"/>
      <c r="N39" s="63"/>
      <c r="O39" s="63"/>
      <c r="P39" s="63"/>
      <c r="Q39" s="63"/>
      <c r="R39" s="63"/>
      <c r="S39" s="63"/>
      <c r="T39" s="63"/>
      <c r="U39" s="63"/>
    </row>
    <row r="40" spans="2:21" ht="16.5" customHeight="1" thickBot="1">
      <c r="B40" s="65" t="s">
        <v>60</v>
      </c>
      <c r="C40" s="63"/>
      <c r="D40" s="324"/>
      <c r="E40" s="325"/>
      <c r="F40" s="325"/>
      <c r="G40" s="325"/>
      <c r="H40" s="325"/>
      <c r="I40" s="326"/>
      <c r="J40" s="60"/>
      <c r="K40" s="63"/>
      <c r="L40" s="63"/>
      <c r="M40" s="63"/>
      <c r="N40" s="63"/>
      <c r="O40" s="63"/>
      <c r="P40" s="91"/>
      <c r="Q40" s="91"/>
      <c r="S40" s="91"/>
      <c r="T40" s="94"/>
      <c r="U40" s="91"/>
    </row>
    <row r="41" spans="2:21" ht="6.75" customHeight="1">
      <c r="B41" s="64"/>
      <c r="C41" s="60"/>
      <c r="D41" s="60"/>
      <c r="E41" s="60"/>
      <c r="F41" s="60"/>
      <c r="G41" s="60"/>
      <c r="H41" s="60"/>
      <c r="I41" s="60"/>
      <c r="J41" s="60"/>
      <c r="K41" s="63"/>
      <c r="L41" s="63"/>
      <c r="M41" s="63"/>
      <c r="N41" s="63"/>
      <c r="O41" s="63"/>
      <c r="P41" s="63"/>
      <c r="Q41" s="63"/>
      <c r="R41" s="63"/>
      <c r="S41" s="63"/>
      <c r="T41" s="63"/>
      <c r="U41" s="63"/>
    </row>
    <row r="42" spans="2:10" ht="6" customHeight="1">
      <c r="B42" s="46"/>
      <c r="C42" s="9"/>
      <c r="D42" s="9"/>
      <c r="E42" s="9"/>
      <c r="F42" s="9"/>
      <c r="G42" s="9"/>
      <c r="H42" s="9"/>
      <c r="I42" s="9"/>
      <c r="J42" s="9"/>
    </row>
    <row r="43" spans="2:21" ht="20.25" customHeight="1">
      <c r="B43" s="284" t="s">
        <v>61</v>
      </c>
      <c r="C43" s="285"/>
      <c r="D43" s="285"/>
      <c r="E43" s="285"/>
      <c r="F43" s="285"/>
      <c r="G43" s="285"/>
      <c r="H43" s="285"/>
      <c r="I43" s="285"/>
      <c r="J43" s="285"/>
      <c r="K43" s="283"/>
      <c r="L43" s="283"/>
      <c r="M43" s="283"/>
      <c r="N43" s="283"/>
      <c r="O43" s="283"/>
      <c r="P43" s="283"/>
      <c r="Q43" s="283"/>
      <c r="R43" s="283"/>
      <c r="S43" s="283"/>
      <c r="T43" s="283"/>
      <c r="U43" s="283"/>
    </row>
    <row r="44" spans="2:10" ht="13.5" customHeight="1">
      <c r="B44" s="46"/>
      <c r="C44" s="9"/>
      <c r="D44" s="9"/>
      <c r="E44" s="9"/>
      <c r="F44" s="9"/>
      <c r="G44" s="9"/>
      <c r="H44" s="9"/>
      <c r="I44" s="9"/>
      <c r="J44" s="9"/>
    </row>
    <row r="45" spans="2:10" ht="13.5" customHeight="1">
      <c r="B45" s="46" t="s">
        <v>62</v>
      </c>
      <c r="C45" s="9"/>
      <c r="D45" s="9"/>
      <c r="E45" s="9"/>
      <c r="F45" s="9"/>
      <c r="G45" s="9"/>
      <c r="H45" s="9"/>
      <c r="I45" s="9"/>
      <c r="J45" s="9"/>
    </row>
    <row r="46" spans="2:10" ht="13.5" customHeight="1">
      <c r="B46" s="46"/>
      <c r="C46" s="9"/>
      <c r="D46" s="9"/>
      <c r="E46" s="9"/>
      <c r="F46" s="9"/>
      <c r="G46" s="9"/>
      <c r="H46" s="9"/>
      <c r="I46" s="9"/>
      <c r="J46" s="9"/>
    </row>
    <row r="47" spans="2:10" ht="13.5" customHeight="1">
      <c r="B47" s="46"/>
      <c r="C47" s="9"/>
      <c r="D47" s="9"/>
      <c r="E47" s="9"/>
      <c r="F47" s="9"/>
      <c r="G47" s="9"/>
      <c r="H47" s="9"/>
      <c r="I47" s="9"/>
      <c r="J47" s="9"/>
    </row>
    <row r="48" spans="2:10" ht="13.5" customHeight="1" thickBot="1">
      <c r="B48" s="46"/>
      <c r="C48" s="9"/>
      <c r="D48" s="9"/>
      <c r="E48" s="9"/>
      <c r="F48" s="9"/>
      <c r="G48" s="9"/>
      <c r="H48" s="9"/>
      <c r="I48" s="9"/>
      <c r="J48" s="9"/>
    </row>
    <row r="49" spans="2:10" ht="12.75" customHeight="1" thickBot="1">
      <c r="B49" s="50" t="s">
        <v>51</v>
      </c>
      <c r="C49" s="332"/>
      <c r="D49" s="333"/>
      <c r="E49" s="333"/>
      <c r="F49" s="333"/>
      <c r="G49" s="334"/>
      <c r="H49" s="9"/>
      <c r="I49" s="9"/>
      <c r="J49" s="9"/>
    </row>
    <row r="50" spans="2:10" ht="13.5" customHeight="1" thickBot="1">
      <c r="B50" s="61" t="s">
        <v>63</v>
      </c>
      <c r="C50" s="332"/>
      <c r="D50" s="333"/>
      <c r="E50" s="333"/>
      <c r="F50" s="333"/>
      <c r="G50" s="334"/>
      <c r="H50" s="9"/>
      <c r="I50" s="9"/>
      <c r="J50" s="9"/>
    </row>
    <row r="51" spans="2:10" ht="14.25" customHeight="1" thickBot="1">
      <c r="B51" s="61" t="s">
        <v>55</v>
      </c>
      <c r="C51" s="332"/>
      <c r="D51" s="333"/>
      <c r="E51" s="333"/>
      <c r="F51" s="333"/>
      <c r="G51" s="334"/>
      <c r="H51" s="9"/>
      <c r="I51" s="9"/>
      <c r="J51" s="9"/>
    </row>
    <row r="52" spans="2:10" ht="13.5" customHeight="1" thickBot="1">
      <c r="B52" s="66" t="s">
        <v>64</v>
      </c>
      <c r="C52" s="332"/>
      <c r="D52" s="333"/>
      <c r="E52" s="333"/>
      <c r="F52" s="333"/>
      <c r="G52" s="334"/>
      <c r="H52" s="9"/>
      <c r="I52" s="9"/>
      <c r="J52" s="9"/>
    </row>
    <row r="53" spans="2:10" ht="12.75" customHeight="1">
      <c r="B53" s="9"/>
      <c r="C53" s="9"/>
      <c r="D53" s="9"/>
      <c r="E53" s="9"/>
      <c r="F53" s="9"/>
      <c r="G53" s="9"/>
      <c r="H53" s="9"/>
      <c r="I53" s="9"/>
      <c r="J53" s="9"/>
    </row>
    <row r="54" spans="2:21" ht="12.75" customHeight="1">
      <c r="B54" s="9"/>
      <c r="C54" s="9"/>
      <c r="D54" s="9"/>
      <c r="E54" s="9"/>
      <c r="F54" s="9"/>
      <c r="G54" s="9"/>
      <c r="H54" s="9"/>
      <c r="I54" s="9"/>
      <c r="J54" s="9"/>
      <c r="R54" s="329" t="s">
        <v>79</v>
      </c>
      <c r="S54" s="329"/>
      <c r="T54" s="329"/>
      <c r="U54" s="120">
        <v>2.2</v>
      </c>
    </row>
    <row r="55" spans="2:10" ht="7.5" customHeight="1">
      <c r="B55" s="9"/>
      <c r="C55" s="9"/>
      <c r="D55" s="9"/>
      <c r="E55" s="9"/>
      <c r="F55" s="9"/>
      <c r="G55" s="9"/>
      <c r="H55" s="9"/>
      <c r="I55" s="9"/>
      <c r="J55" s="9"/>
    </row>
    <row r="56" spans="2:21" ht="21">
      <c r="B56" s="287" t="s">
        <v>45</v>
      </c>
      <c r="C56" s="286"/>
      <c r="D56" s="286"/>
      <c r="E56" s="286"/>
      <c r="F56" s="286"/>
      <c r="G56" s="286"/>
      <c r="H56" s="286"/>
      <c r="I56" s="286"/>
      <c r="J56" s="286"/>
      <c r="K56" s="286"/>
      <c r="L56" s="286"/>
      <c r="M56" s="286"/>
      <c r="N56" s="286"/>
      <c r="O56" s="286"/>
      <c r="P56" s="286"/>
      <c r="Q56" s="286"/>
      <c r="R56" s="286"/>
      <c r="S56" s="286"/>
      <c r="T56" s="286"/>
      <c r="U56" s="286"/>
    </row>
    <row r="57" ht="3.75" customHeight="1" hidden="1"/>
    <row r="58" ht="5.25" customHeight="1"/>
    <row r="59" ht="6" customHeight="1" hidden="1"/>
    <row r="60" spans="2:11" ht="6" customHeight="1">
      <c r="B60" s="22"/>
      <c r="C60" s="22"/>
      <c r="D60" s="23"/>
      <c r="E60" s="20"/>
      <c r="F60" s="20"/>
      <c r="G60" s="20"/>
      <c r="H60" s="335"/>
      <c r="I60" s="335"/>
      <c r="J60" s="335"/>
      <c r="K60" s="335"/>
    </row>
    <row r="61" spans="2:21" ht="17.25" customHeight="1">
      <c r="B61" s="70" t="s">
        <v>73</v>
      </c>
      <c r="C61" s="71"/>
      <c r="D61" s="72"/>
      <c r="E61" s="73"/>
      <c r="F61" s="47"/>
      <c r="G61" s="33"/>
      <c r="H61" s="20"/>
      <c r="I61" s="97"/>
      <c r="J61" s="97"/>
      <c r="Q61" s="104"/>
      <c r="S61" s="112"/>
      <c r="T61" s="111">
        <f>E63</f>
        <v>14</v>
      </c>
      <c r="U61" s="110" t="s">
        <v>78</v>
      </c>
    </row>
    <row r="62" spans="2:21" ht="19.5" customHeight="1">
      <c r="B62" s="21"/>
      <c r="C62" s="21"/>
      <c r="D62" s="31"/>
      <c r="E62" s="32"/>
      <c r="F62" s="33"/>
      <c r="G62" s="98" t="s">
        <v>76</v>
      </c>
      <c r="H62" s="20"/>
      <c r="I62" s="97"/>
      <c r="J62" s="97"/>
      <c r="K62" s="313" t="s">
        <v>70</v>
      </c>
      <c r="L62" s="313"/>
      <c r="M62" s="313"/>
      <c r="N62" s="313"/>
      <c r="O62" s="313"/>
      <c r="P62" s="103" t="s">
        <v>75</v>
      </c>
      <c r="S62" s="90"/>
      <c r="T62" s="105" t="s">
        <v>69</v>
      </c>
      <c r="U62" s="107" t="s">
        <v>75</v>
      </c>
    </row>
    <row r="63" spans="2:21" ht="17.25" customHeight="1">
      <c r="B63" s="29" t="s">
        <v>47</v>
      </c>
      <c r="C63" s="79">
        <v>0</v>
      </c>
      <c r="D63" s="322" t="s">
        <v>33</v>
      </c>
      <c r="E63" s="323">
        <v>14</v>
      </c>
      <c r="F63" s="316" t="s">
        <v>34</v>
      </c>
      <c r="G63" s="323">
        <v>37</v>
      </c>
      <c r="H63" s="314" t="s">
        <v>72</v>
      </c>
      <c r="I63" s="314"/>
      <c r="J63" s="314"/>
      <c r="K63" s="314"/>
      <c r="L63" s="314"/>
      <c r="M63" s="314"/>
      <c r="N63" s="7"/>
      <c r="O63" s="113">
        <f>'-'!H18</f>
        <v>0</v>
      </c>
      <c r="P63" s="85">
        <f>O63*U54</f>
        <v>0</v>
      </c>
      <c r="Q63" s="115"/>
      <c r="S63" s="87"/>
      <c r="T63" s="89">
        <f>'-'!H19</f>
        <v>0</v>
      </c>
      <c r="U63" s="89">
        <f>T63*U54</f>
        <v>0</v>
      </c>
    </row>
    <row r="64" spans="2:21" ht="15.75" customHeight="1">
      <c r="B64" s="30" t="s">
        <v>35</v>
      </c>
      <c r="C64" s="80">
        <v>2500</v>
      </c>
      <c r="D64" s="322"/>
      <c r="E64" s="323"/>
      <c r="F64" s="316"/>
      <c r="G64" s="323"/>
      <c r="H64" s="314" t="s">
        <v>72</v>
      </c>
      <c r="I64" s="314"/>
      <c r="J64" s="314"/>
      <c r="K64" s="314"/>
      <c r="L64" s="314"/>
      <c r="M64" s="314"/>
      <c r="N64" s="15"/>
      <c r="O64" s="114">
        <f>'-'!I18</f>
        <v>15.384299809234683</v>
      </c>
      <c r="P64" s="85">
        <f>O64*U54</f>
        <v>33.84545958031631</v>
      </c>
      <c r="Q64" s="87"/>
      <c r="S64" s="87"/>
      <c r="T64" s="89">
        <f>'-'!I23</f>
        <v>2.5640499682057807</v>
      </c>
      <c r="U64" s="89">
        <f>T64*U54</f>
        <v>5.640909930052718</v>
      </c>
    </row>
    <row r="65" spans="2:21" ht="28.5" customHeight="1">
      <c r="B65" s="74" t="s">
        <v>74</v>
      </c>
      <c r="C65" s="75"/>
      <c r="D65" s="75"/>
      <c r="E65" s="76"/>
      <c r="F65" s="76"/>
      <c r="S65" s="109"/>
      <c r="T65" s="118">
        <f>E68</f>
        <v>14</v>
      </c>
      <c r="U65" s="116" t="s">
        <v>78</v>
      </c>
    </row>
    <row r="66" spans="2:6" ht="6" customHeight="1">
      <c r="B66" s="74"/>
      <c r="C66" s="75"/>
      <c r="D66" s="75"/>
      <c r="E66" s="76"/>
      <c r="F66" s="76"/>
    </row>
    <row r="67" spans="7:21" ht="18" customHeight="1" thickBot="1">
      <c r="G67" s="98" t="s">
        <v>76</v>
      </c>
      <c r="K67" s="313" t="s">
        <v>70</v>
      </c>
      <c r="L67" s="313"/>
      <c r="M67" s="313"/>
      <c r="N67" s="313"/>
      <c r="O67" s="313"/>
      <c r="P67" s="103" t="s">
        <v>75</v>
      </c>
      <c r="T67" s="105" t="s">
        <v>69</v>
      </c>
      <c r="U67" s="107" t="s">
        <v>75</v>
      </c>
    </row>
    <row r="68" spans="2:21" ht="15.75" customHeight="1">
      <c r="B68" s="29" t="s">
        <v>47</v>
      </c>
      <c r="C68" s="79">
        <v>0</v>
      </c>
      <c r="D68" s="322"/>
      <c r="E68" s="327">
        <v>14</v>
      </c>
      <c r="F68" s="316" t="s">
        <v>34</v>
      </c>
      <c r="G68" s="323">
        <v>37</v>
      </c>
      <c r="H68" s="31"/>
      <c r="I68" s="314" t="s">
        <v>72</v>
      </c>
      <c r="J68" s="314"/>
      <c r="K68" s="314"/>
      <c r="L68" s="314"/>
      <c r="M68" s="314"/>
      <c r="N68" s="7"/>
      <c r="O68" s="113">
        <f>'-'!G32</f>
        <v>0</v>
      </c>
      <c r="P68" s="85">
        <f>O68*U54</f>
        <v>0</v>
      </c>
      <c r="Q68" s="87"/>
      <c r="S68" s="87"/>
      <c r="T68" s="117">
        <f>'-'!G37</f>
        <v>0</v>
      </c>
      <c r="U68" s="89">
        <f>T68*U54</f>
        <v>0</v>
      </c>
    </row>
    <row r="69" spans="2:23" ht="15.75" customHeight="1">
      <c r="B69" s="30" t="s">
        <v>35</v>
      </c>
      <c r="C69" s="80">
        <v>2500</v>
      </c>
      <c r="D69" s="322"/>
      <c r="E69" s="327"/>
      <c r="F69" s="316"/>
      <c r="G69" s="323"/>
      <c r="H69" s="31"/>
      <c r="I69" s="314" t="s">
        <v>72</v>
      </c>
      <c r="J69" s="314"/>
      <c r="K69" s="314"/>
      <c r="L69" s="314"/>
      <c r="M69" s="314"/>
      <c r="N69" s="15"/>
      <c r="O69" s="113">
        <f>'-'!G45</f>
        <v>13.186542693629727</v>
      </c>
      <c r="P69" s="85">
        <f>O69*U54</f>
        <v>29.0103939259854</v>
      </c>
      <c r="Q69" s="87"/>
      <c r="S69" s="87"/>
      <c r="T69" s="89">
        <f>'-'!G50</f>
        <v>2.1977571156049547</v>
      </c>
      <c r="U69" s="89">
        <f>T69*U54</f>
        <v>4.835065654330901</v>
      </c>
      <c r="W69" s="48"/>
    </row>
    <row r="70" ht="9" customHeight="1"/>
    <row r="71" spans="2:21" ht="18.75" customHeight="1">
      <c r="B71" s="288" t="s">
        <v>83</v>
      </c>
      <c r="C71" s="283"/>
      <c r="D71" s="283"/>
      <c r="E71" s="283"/>
      <c r="F71" s="283"/>
      <c r="G71" s="283"/>
      <c r="H71" s="283"/>
      <c r="I71" s="283"/>
      <c r="J71" s="283"/>
      <c r="K71" s="283"/>
      <c r="L71" s="283"/>
      <c r="M71" s="283"/>
      <c r="N71" s="283"/>
      <c r="O71" s="283"/>
      <c r="P71" s="283"/>
      <c r="Q71" s="283"/>
      <c r="R71" s="283"/>
      <c r="S71" s="283"/>
      <c r="T71" s="283"/>
      <c r="U71" s="283"/>
    </row>
    <row r="72" spans="2:21" ht="26.25" customHeight="1">
      <c r="B72" s="136" t="s">
        <v>88</v>
      </c>
      <c r="C72" s="48"/>
      <c r="D72" s="315"/>
      <c r="E72" s="315"/>
      <c r="F72" s="315"/>
      <c r="G72" s="315"/>
      <c r="H72" s="315"/>
      <c r="I72" s="315"/>
      <c r="J72" s="315"/>
      <c r="K72" s="315"/>
      <c r="L72" s="48"/>
      <c r="M72" s="136" t="s">
        <v>89</v>
      </c>
      <c r="N72" s="48"/>
      <c r="O72" s="48"/>
      <c r="P72" s="48"/>
      <c r="Q72" s="48"/>
      <c r="R72" s="48"/>
      <c r="S72" s="48"/>
      <c r="T72" s="48"/>
      <c r="U72" s="48"/>
    </row>
    <row r="73" spans="2:21" ht="16.5" customHeight="1">
      <c r="B73" s="69" t="s">
        <v>216</v>
      </c>
      <c r="C73" s="128"/>
      <c r="D73" s="128"/>
      <c r="E73" s="128"/>
      <c r="F73" s="128"/>
      <c r="G73" s="128"/>
      <c r="H73" s="108"/>
      <c r="I73" s="108"/>
      <c r="J73" s="108"/>
      <c r="K73" s="108"/>
      <c r="L73" s="108"/>
      <c r="M73" s="312" t="s">
        <v>65</v>
      </c>
      <c r="N73" s="312"/>
      <c r="O73" s="312"/>
      <c r="P73" s="77"/>
      <c r="Q73" s="77"/>
      <c r="R73" s="77"/>
      <c r="S73" s="77"/>
      <c r="T73" s="77"/>
      <c r="U73" s="77"/>
    </row>
    <row r="74" spans="2:21" ht="21.75" customHeight="1">
      <c r="B74" s="133" t="s">
        <v>215</v>
      </c>
      <c r="G74" s="289" t="s">
        <v>90</v>
      </c>
      <c r="H74" s="78"/>
      <c r="I74" s="289" t="s">
        <v>75</v>
      </c>
      <c r="J74" s="78"/>
      <c r="L74" s="311"/>
      <c r="M74" s="311"/>
      <c r="O74" s="48"/>
      <c r="P74" s="127"/>
      <c r="Q74" s="126"/>
      <c r="S74" s="125"/>
      <c r="T74" s="310"/>
      <c r="U74" s="310"/>
    </row>
    <row r="75" spans="2:21" ht="4.5" customHeight="1" thickBot="1">
      <c r="B75" s="69"/>
      <c r="C75" s="77"/>
      <c r="D75" s="77"/>
      <c r="F75" s="137"/>
      <c r="G75" s="289"/>
      <c r="H75" s="78"/>
      <c r="I75" s="289"/>
      <c r="J75" s="78"/>
      <c r="L75" s="294"/>
      <c r="M75" s="294"/>
      <c r="O75" s="48"/>
      <c r="P75" s="127"/>
      <c r="Q75" s="127"/>
      <c r="S75" s="125"/>
      <c r="T75" s="98"/>
      <c r="U75" s="98"/>
    </row>
    <row r="76" spans="2:21" ht="21" customHeight="1" thickBot="1">
      <c r="B76" s="132" t="s">
        <v>91</v>
      </c>
      <c r="D76" s="69"/>
      <c r="F76" s="134"/>
      <c r="G76" s="130">
        <v>1</v>
      </c>
      <c r="H76" s="69"/>
      <c r="I76" s="366">
        <f>G76*'FEUILLE 2'!E6</f>
        <v>1.19</v>
      </c>
      <c r="J76" s="69"/>
      <c r="L76" s="128"/>
      <c r="M76" s="136" t="s">
        <v>212</v>
      </c>
      <c r="N76" s="128"/>
      <c r="O76" s="135"/>
      <c r="Q76" s="128"/>
      <c r="R76" s="128"/>
      <c r="S76" s="128"/>
      <c r="T76" s="289" t="s">
        <v>90</v>
      </c>
      <c r="U76" s="289" t="s">
        <v>75</v>
      </c>
    </row>
    <row r="77" spans="2:21" ht="16.5" customHeight="1" thickBot="1">
      <c r="B77" s="133" t="s">
        <v>93</v>
      </c>
      <c r="C77" s="69"/>
      <c r="F77" s="134"/>
      <c r="G77" s="130">
        <v>1</v>
      </c>
      <c r="I77" s="366">
        <f>G77*U54</f>
        <v>2.2</v>
      </c>
      <c r="M77" s="133" t="s">
        <v>213</v>
      </c>
      <c r="O77" s="69"/>
      <c r="R77" s="134"/>
      <c r="S77" s="130">
        <v>0</v>
      </c>
      <c r="T77" s="129"/>
      <c r="U77" s="129">
        <f>T77*U54</f>
        <v>0</v>
      </c>
    </row>
    <row r="78" ht="1.5" customHeight="1"/>
    <row r="79" ht="15.75" customHeight="1">
      <c r="B79" s="69"/>
    </row>
    <row r="82" spans="3:6" ht="15">
      <c r="C82" s="77"/>
      <c r="D82" s="77"/>
      <c r="F82" s="137"/>
    </row>
  </sheetData>
  <sheetProtection/>
  <mergeCells count="42">
    <mergeCell ref="B3:C5"/>
    <mergeCell ref="H60:K60"/>
    <mergeCell ref="E18:U18"/>
    <mergeCell ref="C51:G51"/>
    <mergeCell ref="C52:G52"/>
    <mergeCell ref="E16:U16"/>
    <mergeCell ref="C50:G50"/>
    <mergeCell ref="K62:O62"/>
    <mergeCell ref="H63:M63"/>
    <mergeCell ref="D63:D64"/>
    <mergeCell ref="F63:F64"/>
    <mergeCell ref="O5:R5"/>
    <mergeCell ref="R54:T54"/>
    <mergeCell ref="E19:U19"/>
    <mergeCell ref="C24:I24"/>
    <mergeCell ref="P36:R36"/>
    <mergeCell ref="C49:G49"/>
    <mergeCell ref="B2:U2"/>
    <mergeCell ref="C11:F11"/>
    <mergeCell ref="T5:U5"/>
    <mergeCell ref="D68:D69"/>
    <mergeCell ref="G68:G69"/>
    <mergeCell ref="E63:E64"/>
    <mergeCell ref="D39:I39"/>
    <mergeCell ref="G63:G64"/>
    <mergeCell ref="D40:I40"/>
    <mergeCell ref="E68:E69"/>
    <mergeCell ref="T74:U74"/>
    <mergeCell ref="L74:M74"/>
    <mergeCell ref="M73:O73"/>
    <mergeCell ref="K67:O67"/>
    <mergeCell ref="H64:M64"/>
    <mergeCell ref="I69:M69"/>
    <mergeCell ref="I68:M68"/>
    <mergeCell ref="D72:K72"/>
    <mergeCell ref="F68:F69"/>
    <mergeCell ref="I4:J5"/>
    <mergeCell ref="D36:I36"/>
    <mergeCell ref="L11:U11"/>
    <mergeCell ref="J11:K11"/>
    <mergeCell ref="D37:I37"/>
    <mergeCell ref="E17:U17"/>
  </mergeCells>
  <conditionalFormatting sqref="C68:C69 C63:C64 T63:T64 O68:O69 T68:T69 O63:O64">
    <cfRule type="cellIs" priority="10" dxfId="4" operator="greaterThan" stopIfTrue="1">
      <formula>0.1</formula>
    </cfRule>
  </conditionalFormatting>
  <conditionalFormatting sqref="P63:P64 P68:P69 U63:U64 U68:U69">
    <cfRule type="cellIs" priority="6" dxfId="3" operator="greaterThan" stopIfTrue="1">
      <formula>0.1</formula>
    </cfRule>
  </conditionalFormatting>
  <conditionalFormatting sqref="O63:O64 O68:O69">
    <cfRule type="cellIs" priority="5" dxfId="22" operator="between" stopIfTrue="1">
      <formula>0.01</formula>
      <formula>10.03</formula>
    </cfRule>
  </conditionalFormatting>
  <conditionalFormatting sqref="C11:F11">
    <cfRule type="containsBlanks" priority="4" dxfId="0" stopIfTrue="1">
      <formula>LEN(TRIM(C11))=0</formula>
    </cfRule>
  </conditionalFormatting>
  <conditionalFormatting sqref="L11:U11 E16:U16 C24:I24 D40:I40">
    <cfRule type="containsBlanks" priority="3" dxfId="0" stopIfTrue="1">
      <formula>LEN(TRIM(C11))=0</formula>
    </cfRule>
  </conditionalFormatting>
  <dataValidations count="1">
    <dataValidation type="list" showDropDown="1" showInputMessage="1" showErrorMessage="1" sqref="L15:O15">
      <formula1>liste2</formula1>
    </dataValidation>
  </dataValidations>
  <hyperlinks>
    <hyperlink ref="I4:J5" r:id="rId1" display="Faire la DUE"/>
  </hyperlinks>
  <printOptions/>
  <pageMargins left="0.1968503937007874" right="0.1968503937007874" top="0.31496062992125984" bottom="0.31496062992125984" header="0.31496062992125984" footer="0.31496062992125984"/>
  <pageSetup horizontalDpi="600" verticalDpi="600" orientation="portrait" paperSize="9" scale="77" r:id="rId4"/>
  <drawing r:id="rId3"/>
  <legacyDrawing r:id="rId2"/>
</worksheet>
</file>

<file path=xl/worksheets/sheet2.xml><?xml version="1.0" encoding="utf-8"?>
<worksheet xmlns="http://schemas.openxmlformats.org/spreadsheetml/2006/main" xmlns:r="http://schemas.openxmlformats.org/officeDocument/2006/relationships">
  <dimension ref="B2:E11"/>
  <sheetViews>
    <sheetView zoomScalePageLayoutView="0" workbookViewId="0" topLeftCell="A1">
      <selection activeCell="E7" sqref="E7"/>
    </sheetView>
  </sheetViews>
  <sheetFormatPr defaultColWidth="11.421875" defaultRowHeight="15"/>
  <sheetData>
    <row r="2" ht="15">
      <c r="B2" t="s">
        <v>224</v>
      </c>
    </row>
    <row r="4" ht="15">
      <c r="B4" t="s">
        <v>225</v>
      </c>
    </row>
    <row r="5" ht="15.75" thickBot="1">
      <c r="B5" t="s">
        <v>226</v>
      </c>
    </row>
    <row r="6" spans="2:5" ht="15.75" thickBot="1">
      <c r="B6" t="s">
        <v>227</v>
      </c>
      <c r="E6" s="55">
        <v>1.19</v>
      </c>
    </row>
    <row r="7" ht="15">
      <c r="B7" t="s">
        <v>228</v>
      </c>
    </row>
    <row r="8" ht="15">
      <c r="B8" t="s">
        <v>229</v>
      </c>
    </row>
    <row r="9" ht="15">
      <c r="B9" t="s">
        <v>230</v>
      </c>
    </row>
    <row r="10" ht="15">
      <c r="B10" t="s">
        <v>231</v>
      </c>
    </row>
    <row r="11" ht="15">
      <c r="B11" t="s">
        <v>232</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Feuil3"/>
  <dimension ref="A1:R132"/>
  <sheetViews>
    <sheetView zoomScalePageLayoutView="0" workbookViewId="0" topLeftCell="A1">
      <selection activeCell="E27" sqref="E27"/>
    </sheetView>
  </sheetViews>
  <sheetFormatPr defaultColWidth="11.421875" defaultRowHeight="15"/>
  <cols>
    <col min="1" max="1" width="3.57421875" style="157" customWidth="1"/>
    <col min="2" max="2" width="15.7109375" style="139" customWidth="1"/>
    <col min="3" max="3" width="14.00390625" style="158" bestFit="1" customWidth="1"/>
    <col min="4" max="4" width="16.00390625" style="139" customWidth="1"/>
    <col min="5" max="5" width="11.00390625" style="139" customWidth="1"/>
    <col min="6" max="6" width="14.57421875" style="159" customWidth="1"/>
    <col min="7" max="7" width="12.7109375" style="157" customWidth="1"/>
    <col min="8" max="8" width="10.421875" style="156" customWidth="1"/>
    <col min="9" max="10" width="12.00390625" style="156" customWidth="1"/>
    <col min="11" max="11" width="4.57421875" style="156" customWidth="1"/>
    <col min="12" max="16384" width="11.421875" style="156" customWidth="1"/>
  </cols>
  <sheetData>
    <row r="1" spans="1:7" ht="21" customHeight="1">
      <c r="A1" s="165"/>
      <c r="B1" s="167"/>
      <c r="C1" s="168"/>
      <c r="D1" s="167"/>
      <c r="E1" s="165"/>
      <c r="F1" s="169"/>
      <c r="G1" s="165"/>
    </row>
    <row r="2" spans="1:7" ht="64.5" customHeight="1">
      <c r="A2" s="172"/>
      <c r="B2" s="341"/>
      <c r="C2" s="341"/>
      <c r="D2" s="341"/>
      <c r="E2" s="173"/>
      <c r="F2" s="175"/>
      <c r="G2" s="172"/>
    </row>
    <row r="3" spans="1:7" ht="15">
      <c r="A3" s="172"/>
      <c r="B3" s="140"/>
      <c r="C3" s="142"/>
      <c r="D3" s="140"/>
      <c r="E3" s="173"/>
      <c r="F3" s="175"/>
      <c r="G3" s="172"/>
    </row>
    <row r="4" spans="1:14" ht="15">
      <c r="A4" s="172"/>
      <c r="B4" s="338" t="s">
        <v>186</v>
      </c>
      <c r="C4" s="338"/>
      <c r="D4" s="338"/>
      <c r="E4" s="338"/>
      <c r="F4" s="338"/>
      <c r="G4" s="338"/>
      <c r="H4" s="338"/>
      <c r="I4" s="338"/>
      <c r="J4" s="338"/>
      <c r="K4" s="338"/>
      <c r="L4" s="338"/>
      <c r="M4" s="338"/>
      <c r="N4" s="338"/>
    </row>
    <row r="5" spans="1:14" ht="30.75" customHeight="1">
      <c r="A5" s="172"/>
      <c r="B5" s="338"/>
      <c r="C5" s="338"/>
      <c r="D5" s="338"/>
      <c r="E5" s="338"/>
      <c r="F5" s="338"/>
      <c r="G5" s="338"/>
      <c r="H5" s="338"/>
      <c r="I5" s="338"/>
      <c r="J5" s="338"/>
      <c r="K5" s="338"/>
      <c r="L5" s="338"/>
      <c r="M5" s="338"/>
      <c r="N5" s="338"/>
    </row>
    <row r="6" spans="1:18" ht="15" customHeight="1">
      <c r="A6" s="172"/>
      <c r="B6" s="339">
        <f>1!H87</f>
        <v>-23.44</v>
      </c>
      <c r="C6" s="339"/>
      <c r="D6" s="339"/>
      <c r="E6" s="339"/>
      <c r="F6" s="339"/>
      <c r="G6" s="339"/>
      <c r="H6" s="339"/>
      <c r="I6" s="339"/>
      <c r="J6" s="339"/>
      <c r="K6" s="339"/>
      <c r="L6" s="339"/>
      <c r="M6" s="339"/>
      <c r="N6" s="339"/>
      <c r="R6"/>
    </row>
    <row r="7" spans="1:14" ht="15" customHeight="1">
      <c r="A7" s="172"/>
      <c r="B7" s="339"/>
      <c r="C7" s="339"/>
      <c r="D7" s="339"/>
      <c r="E7" s="339"/>
      <c r="F7" s="339"/>
      <c r="G7" s="339"/>
      <c r="H7" s="339"/>
      <c r="I7" s="339"/>
      <c r="J7" s="339"/>
      <c r="K7" s="339"/>
      <c r="L7" s="339"/>
      <c r="M7" s="339"/>
      <c r="N7" s="339"/>
    </row>
    <row r="8" spans="1:14" ht="15" customHeight="1">
      <c r="A8" s="172"/>
      <c r="B8" s="339">
        <f>2!H87</f>
        <v>2114.64</v>
      </c>
      <c r="C8" s="339"/>
      <c r="D8" s="339"/>
      <c r="E8" s="339"/>
      <c r="F8" s="339"/>
      <c r="G8" s="339"/>
      <c r="H8" s="339"/>
      <c r="I8" s="339"/>
      <c r="J8" s="339"/>
      <c r="K8" s="339"/>
      <c r="L8" s="339"/>
      <c r="M8" s="339"/>
      <c r="N8" s="339"/>
    </row>
    <row r="9" spans="1:14" ht="15" customHeight="1">
      <c r="A9" s="172"/>
      <c r="B9" s="339"/>
      <c r="C9" s="339"/>
      <c r="D9" s="339"/>
      <c r="E9" s="339"/>
      <c r="F9" s="339"/>
      <c r="G9" s="339"/>
      <c r="H9" s="339"/>
      <c r="I9" s="339"/>
      <c r="J9" s="339"/>
      <c r="K9" s="339"/>
      <c r="L9" s="339"/>
      <c r="M9" s="339"/>
      <c r="N9" s="339"/>
    </row>
    <row r="10" spans="1:14" ht="15" customHeight="1">
      <c r="A10" s="172"/>
      <c r="B10" s="339">
        <f>3!H87</f>
        <v>-23.44</v>
      </c>
      <c r="C10" s="339"/>
      <c r="D10" s="339"/>
      <c r="E10" s="339"/>
      <c r="F10" s="339"/>
      <c r="G10" s="339"/>
      <c r="H10" s="339"/>
      <c r="I10" s="339"/>
      <c r="J10" s="339"/>
      <c r="K10" s="339"/>
      <c r="L10" s="339"/>
      <c r="M10" s="339"/>
      <c r="N10" s="339"/>
    </row>
    <row r="11" spans="1:14" ht="15" customHeight="1">
      <c r="A11" s="172"/>
      <c r="B11" s="339"/>
      <c r="C11" s="339"/>
      <c r="D11" s="339"/>
      <c r="E11" s="339"/>
      <c r="F11" s="339"/>
      <c r="G11" s="339"/>
      <c r="H11" s="339"/>
      <c r="I11" s="339"/>
      <c r="J11" s="339"/>
      <c r="K11" s="339"/>
      <c r="L11" s="339"/>
      <c r="M11" s="339"/>
      <c r="N11" s="339"/>
    </row>
    <row r="12" spans="1:14" ht="15" customHeight="1">
      <c r="A12" s="172"/>
      <c r="B12" s="339">
        <f>4!H87</f>
        <v>1809.18</v>
      </c>
      <c r="C12" s="339"/>
      <c r="D12" s="339"/>
      <c r="E12" s="339"/>
      <c r="F12" s="339"/>
      <c r="G12" s="339"/>
      <c r="H12" s="339"/>
      <c r="I12" s="339"/>
      <c r="J12" s="339"/>
      <c r="K12" s="339"/>
      <c r="L12" s="339"/>
      <c r="M12" s="339"/>
      <c r="N12" s="339"/>
    </row>
    <row r="13" spans="1:14" ht="15" customHeight="1">
      <c r="A13" s="172"/>
      <c r="B13" s="339"/>
      <c r="C13" s="339"/>
      <c r="D13" s="339"/>
      <c r="E13" s="339"/>
      <c r="F13" s="339"/>
      <c r="G13" s="339"/>
      <c r="H13" s="339"/>
      <c r="I13" s="339"/>
      <c r="J13" s="339"/>
      <c r="K13" s="339"/>
      <c r="L13" s="339"/>
      <c r="M13" s="339"/>
      <c r="N13" s="339"/>
    </row>
    <row r="14" spans="1:14" ht="15">
      <c r="A14" s="172"/>
      <c r="B14" s="270"/>
      <c r="C14" s="271"/>
      <c r="D14" s="270"/>
      <c r="E14" s="270"/>
      <c r="F14" s="272"/>
      <c r="G14" s="277"/>
      <c r="H14" s="274"/>
      <c r="I14" s="274"/>
      <c r="J14" s="274"/>
      <c r="K14" s="274"/>
      <c r="L14" s="274"/>
      <c r="M14" s="274"/>
      <c r="N14" s="274"/>
    </row>
    <row r="15" spans="1:11" ht="15">
      <c r="A15" s="172"/>
      <c r="B15" s="173"/>
      <c r="C15" s="174"/>
      <c r="D15" s="340" t="s">
        <v>188</v>
      </c>
      <c r="E15" s="340"/>
      <c r="F15" s="340"/>
      <c r="G15" s="340"/>
      <c r="H15" s="340"/>
      <c r="I15" s="340"/>
      <c r="J15" s="340"/>
      <c r="K15" s="340"/>
    </row>
    <row r="16" spans="1:7" ht="15.75" thickBot="1">
      <c r="A16" s="172"/>
      <c r="B16" s="173"/>
      <c r="C16" s="173"/>
      <c r="D16" s="173"/>
      <c r="E16" s="173"/>
      <c r="F16" s="173"/>
      <c r="G16" s="172"/>
    </row>
    <row r="17" spans="1:14" ht="15">
      <c r="A17" s="172"/>
      <c r="B17" s="342" t="s">
        <v>185</v>
      </c>
      <c r="C17" s="343"/>
      <c r="D17" s="343"/>
      <c r="E17" s="343"/>
      <c r="F17" s="343"/>
      <c r="G17" s="343"/>
      <c r="H17" s="343"/>
      <c r="I17" s="343"/>
      <c r="J17" s="343"/>
      <c r="K17" s="343"/>
      <c r="L17" s="343"/>
      <c r="M17" s="343"/>
      <c r="N17" s="344"/>
    </row>
    <row r="18" spans="1:14" ht="15.75" thickBot="1">
      <c r="A18" s="172"/>
      <c r="B18" s="345"/>
      <c r="C18" s="346"/>
      <c r="D18" s="346"/>
      <c r="E18" s="346"/>
      <c r="F18" s="346"/>
      <c r="G18" s="346"/>
      <c r="H18" s="346"/>
      <c r="I18" s="346"/>
      <c r="J18" s="346"/>
      <c r="K18" s="346"/>
      <c r="L18" s="346"/>
      <c r="M18" s="346"/>
      <c r="N18" s="347"/>
    </row>
    <row r="19" spans="1:7" ht="15">
      <c r="A19" s="172"/>
      <c r="B19" s="173"/>
      <c r="C19" s="174"/>
      <c r="D19" s="173"/>
      <c r="E19" s="173"/>
      <c r="F19" s="175"/>
      <c r="G19" s="172"/>
    </row>
    <row r="20" spans="1:10" ht="15" customHeight="1">
      <c r="A20" s="172"/>
      <c r="B20" s="173"/>
      <c r="C20" s="174"/>
      <c r="D20" s="336" t="str">
        <f>IF(1!H87&gt;0,"1","-")</f>
        <v>-</v>
      </c>
      <c r="E20" s="278"/>
      <c r="F20" s="337" t="str">
        <f>IF(2!H87&gt;0,"2","-")</f>
        <v>2</v>
      </c>
      <c r="G20" s="279"/>
      <c r="H20" s="337" t="str">
        <f>IF(3!H87&gt;0,"3","-")</f>
        <v>-</v>
      </c>
      <c r="I20" s="280"/>
      <c r="J20" s="337" t="str">
        <f>IF(4!H87&gt;0,"4","-")</f>
        <v>4</v>
      </c>
    </row>
    <row r="21" spans="1:10" ht="26.25">
      <c r="A21" s="172"/>
      <c r="B21" s="173"/>
      <c r="C21" s="156"/>
      <c r="D21" s="336"/>
      <c r="E21" s="278"/>
      <c r="F21" s="337"/>
      <c r="G21" s="280"/>
      <c r="H21" s="337"/>
      <c r="I21" s="280"/>
      <c r="J21" s="337"/>
    </row>
    <row r="22" spans="1:7" ht="15">
      <c r="A22" s="172"/>
      <c r="B22" s="173"/>
      <c r="C22" s="174"/>
      <c r="D22" s="173"/>
      <c r="E22" s="173"/>
      <c r="F22" s="175"/>
      <c r="G22" s="172"/>
    </row>
    <row r="23" spans="1:7" ht="15">
      <c r="A23" s="172"/>
      <c r="B23" s="173"/>
      <c r="C23" s="174"/>
      <c r="D23" s="173"/>
      <c r="E23"/>
      <c r="F23" s="175"/>
      <c r="G23" s="172"/>
    </row>
    <row r="24" spans="1:7" ht="15">
      <c r="A24" s="172"/>
      <c r="B24" s="173"/>
      <c r="C24" s="174"/>
      <c r="D24" s="173"/>
      <c r="E24" s="173"/>
      <c r="F24" s="175"/>
      <c r="G24" s="172"/>
    </row>
    <row r="25" spans="1:7" ht="15">
      <c r="A25" s="172"/>
      <c r="B25" s="173"/>
      <c r="C25" s="174"/>
      <c r="D25" s="173"/>
      <c r="E25" s="173"/>
      <c r="F25" s="175"/>
      <c r="G25" s="172"/>
    </row>
    <row r="26" spans="1:7" ht="15">
      <c r="A26" s="172"/>
      <c r="B26" s="173"/>
      <c r="C26" s="174"/>
      <c r="D26" s="173"/>
      <c r="E26" s="173"/>
      <c r="F26" s="175"/>
      <c r="G26" s="172"/>
    </row>
    <row r="27" spans="1:7" ht="15">
      <c r="A27" s="172"/>
      <c r="B27" s="173"/>
      <c r="C27" s="174"/>
      <c r="D27" s="173"/>
      <c r="E27" s="173"/>
      <c r="F27" s="175"/>
      <c r="G27" s="172"/>
    </row>
    <row r="28" spans="1:7" ht="15">
      <c r="A28" s="172"/>
      <c r="B28" s="173"/>
      <c r="C28" s="174"/>
      <c r="D28" s="173"/>
      <c r="E28" s="173"/>
      <c r="F28" s="175"/>
      <c r="G28" s="172"/>
    </row>
    <row r="29" spans="1:7" ht="15">
      <c r="A29" s="172"/>
      <c r="B29" s="173"/>
      <c r="C29" s="174"/>
      <c r="D29" s="173"/>
      <c r="E29" s="173"/>
      <c r="F29" s="175"/>
      <c r="G29" s="172"/>
    </row>
    <row r="30" spans="1:7" ht="15">
      <c r="A30" s="172"/>
      <c r="B30" s="173"/>
      <c r="C30" s="174"/>
      <c r="D30" s="173"/>
      <c r="E30" s="173"/>
      <c r="F30" s="175"/>
      <c r="G30" s="172"/>
    </row>
    <row r="31" spans="1:7" ht="15">
      <c r="A31" s="172"/>
      <c r="B31" s="173"/>
      <c r="C31" s="174"/>
      <c r="D31" s="173"/>
      <c r="E31" s="173"/>
      <c r="F31" s="175"/>
      <c r="G31" s="172"/>
    </row>
    <row r="32" spans="1:7" ht="15">
      <c r="A32" s="172"/>
      <c r="B32" s="173"/>
      <c r="C32" s="174"/>
      <c r="D32" s="173"/>
      <c r="E32" s="173"/>
      <c r="F32" s="175"/>
      <c r="G32" s="172"/>
    </row>
    <row r="33" spans="1:7" ht="15">
      <c r="A33" s="172"/>
      <c r="B33" s="173"/>
      <c r="C33" s="174"/>
      <c r="D33" s="173"/>
      <c r="E33" s="173"/>
      <c r="F33" s="175"/>
      <c r="G33" s="172"/>
    </row>
    <row r="34" spans="1:7" ht="15">
      <c r="A34" s="172"/>
      <c r="B34" s="173"/>
      <c r="C34" s="174"/>
      <c r="D34" s="173"/>
      <c r="E34" s="173"/>
      <c r="F34" s="175"/>
      <c r="G34" s="172"/>
    </row>
    <row r="35" spans="1:7" ht="15">
      <c r="A35" s="172"/>
      <c r="B35" s="173"/>
      <c r="C35" s="174"/>
      <c r="D35" s="173"/>
      <c r="E35" s="173"/>
      <c r="F35" s="175"/>
      <c r="G35" s="172"/>
    </row>
    <row r="36" spans="1:7" ht="15">
      <c r="A36" s="172"/>
      <c r="B36" s="173"/>
      <c r="C36" s="174"/>
      <c r="D36" s="173"/>
      <c r="E36" s="173"/>
      <c r="F36" s="175"/>
      <c r="G36" s="172"/>
    </row>
    <row r="37" spans="1:7" ht="15">
      <c r="A37" s="172"/>
      <c r="B37" s="173"/>
      <c r="C37" s="174"/>
      <c r="D37" s="173"/>
      <c r="E37" s="173"/>
      <c r="F37" s="175"/>
      <c r="G37" s="172"/>
    </row>
    <row r="38" spans="1:7" ht="15">
      <c r="A38" s="172"/>
      <c r="B38" s="173"/>
      <c r="C38" s="174"/>
      <c r="D38" s="173"/>
      <c r="E38" s="173"/>
      <c r="F38" s="175"/>
      <c r="G38" s="172"/>
    </row>
    <row r="39" spans="1:7" ht="15">
      <c r="A39" s="172"/>
      <c r="B39" s="173"/>
      <c r="C39" s="174"/>
      <c r="D39" s="173"/>
      <c r="E39" s="173"/>
      <c r="F39" s="175"/>
      <c r="G39" s="172"/>
    </row>
    <row r="40" spans="1:7" ht="15">
      <c r="A40" s="172"/>
      <c r="B40" s="173"/>
      <c r="C40" s="174"/>
      <c r="D40" s="173"/>
      <c r="E40" s="173"/>
      <c r="F40" s="175"/>
      <c r="G40" s="172"/>
    </row>
    <row r="41" spans="1:7" ht="15">
      <c r="A41" s="172"/>
      <c r="B41" s="173"/>
      <c r="C41" s="174"/>
      <c r="D41" s="173"/>
      <c r="E41" s="173"/>
      <c r="F41" s="175"/>
      <c r="G41" s="172"/>
    </row>
    <row r="42" spans="1:7" ht="15">
      <c r="A42" s="172"/>
      <c r="B42" s="173"/>
      <c r="C42" s="174"/>
      <c r="D42" s="173"/>
      <c r="E42" s="173"/>
      <c r="F42" s="175"/>
      <c r="G42" s="172"/>
    </row>
    <row r="43" spans="1:7" ht="15">
      <c r="A43" s="172"/>
      <c r="B43" s="173"/>
      <c r="C43" s="174"/>
      <c r="D43" s="173"/>
      <c r="E43" s="173"/>
      <c r="F43" s="175"/>
      <c r="G43" s="172"/>
    </row>
    <row r="44" spans="1:7" ht="15">
      <c r="A44" s="172"/>
      <c r="B44" s="173"/>
      <c r="C44" s="174"/>
      <c r="D44" s="173"/>
      <c r="E44" s="173"/>
      <c r="F44" s="175"/>
      <c r="G44" s="172"/>
    </row>
    <row r="45" spans="1:7" ht="15">
      <c r="A45" s="172"/>
      <c r="B45" s="173"/>
      <c r="C45" s="174"/>
      <c r="D45" s="173"/>
      <c r="E45" s="173"/>
      <c r="F45" s="175"/>
      <c r="G45" s="172"/>
    </row>
    <row r="46" spans="1:7" ht="15">
      <c r="A46" s="172"/>
      <c r="B46" s="173"/>
      <c r="C46" s="174"/>
      <c r="D46" s="173"/>
      <c r="E46" s="173"/>
      <c r="F46" s="175"/>
      <c r="G46" s="172"/>
    </row>
    <row r="47" spans="1:7" ht="15">
      <c r="A47" s="172"/>
      <c r="B47" s="173"/>
      <c r="C47" s="174"/>
      <c r="D47" s="173"/>
      <c r="E47" s="173"/>
      <c r="F47" s="175"/>
      <c r="G47" s="172"/>
    </row>
    <row r="48" spans="1:7" ht="15">
      <c r="A48" s="172"/>
      <c r="B48" s="173"/>
      <c r="C48" s="174"/>
      <c r="D48" s="173"/>
      <c r="E48" s="173"/>
      <c r="F48" s="175"/>
      <c r="G48" s="172"/>
    </row>
    <row r="49" spans="1:7" ht="15">
      <c r="A49" s="172"/>
      <c r="B49" s="173"/>
      <c r="C49" s="174"/>
      <c r="D49" s="173"/>
      <c r="E49" s="173"/>
      <c r="F49" s="175"/>
      <c r="G49" s="172"/>
    </row>
    <row r="50" spans="1:7" ht="15">
      <c r="A50" s="172"/>
      <c r="B50" s="173"/>
      <c r="C50" s="174"/>
      <c r="D50" s="173"/>
      <c r="E50" s="173"/>
      <c r="F50" s="175"/>
      <c r="G50" s="172"/>
    </row>
    <row r="51" spans="1:7" ht="15">
      <c r="A51" s="172"/>
      <c r="B51" s="173"/>
      <c r="C51" s="174"/>
      <c r="D51" s="173"/>
      <c r="E51" s="173"/>
      <c r="F51" s="175"/>
      <c r="G51" s="172"/>
    </row>
    <row r="52" spans="1:7" ht="15">
      <c r="A52" s="172"/>
      <c r="B52" s="173"/>
      <c r="C52" s="174"/>
      <c r="D52" s="173"/>
      <c r="E52" s="173"/>
      <c r="F52" s="175"/>
      <c r="G52" s="172"/>
    </row>
    <row r="53" spans="1:7" ht="15">
      <c r="A53" s="172"/>
      <c r="B53" s="173"/>
      <c r="C53" s="174"/>
      <c r="D53" s="173"/>
      <c r="E53" s="173"/>
      <c r="F53" s="175"/>
      <c r="G53" s="172"/>
    </row>
    <row r="54" spans="1:7" ht="15">
      <c r="A54" s="172"/>
      <c r="B54" s="173"/>
      <c r="C54" s="174"/>
      <c r="D54" s="173"/>
      <c r="E54" s="173"/>
      <c r="F54" s="175"/>
      <c r="G54" s="172"/>
    </row>
    <row r="55" spans="1:7" ht="15">
      <c r="A55" s="172"/>
      <c r="B55" s="173"/>
      <c r="C55" s="174"/>
      <c r="D55" s="173"/>
      <c r="E55" s="173"/>
      <c r="F55" s="175"/>
      <c r="G55" s="172"/>
    </row>
    <row r="56" spans="1:7" ht="15">
      <c r="A56" s="172"/>
      <c r="B56" s="173"/>
      <c r="C56" s="174"/>
      <c r="D56" s="173"/>
      <c r="E56" s="173"/>
      <c r="F56" s="175"/>
      <c r="G56" s="172"/>
    </row>
    <row r="57" spans="1:7" ht="15">
      <c r="A57" s="172"/>
      <c r="B57" s="173"/>
      <c r="C57" s="174"/>
      <c r="D57" s="173"/>
      <c r="E57" s="173"/>
      <c r="F57" s="175"/>
      <c r="G57" s="172"/>
    </row>
    <row r="58" spans="1:7" ht="15">
      <c r="A58" s="172"/>
      <c r="B58" s="173"/>
      <c r="C58" s="174"/>
      <c r="D58" s="173"/>
      <c r="E58" s="173"/>
      <c r="F58" s="175"/>
      <c r="G58" s="172"/>
    </row>
    <row r="59" spans="1:7" ht="15">
      <c r="A59" s="172"/>
      <c r="B59" s="173"/>
      <c r="C59" s="174"/>
      <c r="D59" s="173"/>
      <c r="E59" s="173"/>
      <c r="F59" s="175"/>
      <c r="G59" s="172"/>
    </row>
    <row r="60" spans="1:7" ht="15">
      <c r="A60" s="172"/>
      <c r="B60" s="173"/>
      <c r="C60" s="174"/>
      <c r="D60" s="173"/>
      <c r="E60" s="173"/>
      <c r="F60" s="175"/>
      <c r="G60" s="172"/>
    </row>
    <row r="61" spans="1:7" ht="15">
      <c r="A61" s="172"/>
      <c r="B61" s="173"/>
      <c r="C61" s="174"/>
      <c r="D61" s="173"/>
      <c r="E61" s="173"/>
      <c r="F61" s="175"/>
      <c r="G61" s="172"/>
    </row>
    <row r="62" spans="1:7" ht="15">
      <c r="A62" s="172"/>
      <c r="B62" s="173"/>
      <c r="C62" s="174"/>
      <c r="D62" s="173"/>
      <c r="E62" s="173"/>
      <c r="F62" s="175"/>
      <c r="G62" s="172"/>
    </row>
    <row r="63" spans="1:7" ht="15">
      <c r="A63" s="172"/>
      <c r="B63" s="173"/>
      <c r="C63" s="174"/>
      <c r="D63" s="173"/>
      <c r="E63" s="173"/>
      <c r="F63" s="175"/>
      <c r="G63" s="172"/>
    </row>
    <row r="64" spans="1:7" ht="15">
      <c r="A64" s="172"/>
      <c r="B64" s="173"/>
      <c r="C64" s="174"/>
      <c r="D64" s="173"/>
      <c r="E64" s="173"/>
      <c r="F64" s="175"/>
      <c r="G64" s="172"/>
    </row>
    <row r="65" spans="1:7" ht="15">
      <c r="A65" s="172"/>
      <c r="B65" s="173"/>
      <c r="C65" s="174"/>
      <c r="D65" s="173"/>
      <c r="E65" s="173"/>
      <c r="F65" s="175"/>
      <c r="G65" s="172"/>
    </row>
    <row r="66" spans="1:7" ht="15">
      <c r="A66" s="172"/>
      <c r="B66" s="173"/>
      <c r="C66" s="174"/>
      <c r="D66" s="173"/>
      <c r="E66" s="173"/>
      <c r="F66" s="175"/>
      <c r="G66" s="172"/>
    </row>
    <row r="67" spans="1:7" ht="15">
      <c r="A67" s="172"/>
      <c r="B67" s="173"/>
      <c r="C67" s="174"/>
      <c r="D67" s="173"/>
      <c r="E67" s="173"/>
      <c r="F67" s="175"/>
      <c r="G67" s="172"/>
    </row>
    <row r="68" spans="1:7" ht="15">
      <c r="A68" s="172"/>
      <c r="B68" s="173"/>
      <c r="C68" s="174"/>
      <c r="D68" s="173"/>
      <c r="E68" s="173"/>
      <c r="F68" s="175"/>
      <c r="G68" s="172"/>
    </row>
    <row r="69" spans="1:7" ht="15">
      <c r="A69" s="172"/>
      <c r="B69" s="173"/>
      <c r="C69" s="174"/>
      <c r="D69" s="173"/>
      <c r="E69" s="173"/>
      <c r="F69" s="175"/>
      <c r="G69" s="172"/>
    </row>
    <row r="70" spans="1:7" ht="15">
      <c r="A70" s="172"/>
      <c r="B70" s="173"/>
      <c r="C70" s="174"/>
      <c r="D70" s="173"/>
      <c r="E70" s="173"/>
      <c r="F70" s="175"/>
      <c r="G70" s="172"/>
    </row>
    <row r="71" spans="1:7" ht="15">
      <c r="A71" s="172"/>
      <c r="B71" s="173"/>
      <c r="C71" s="174"/>
      <c r="D71" s="173"/>
      <c r="E71" s="173"/>
      <c r="F71" s="175"/>
      <c r="G71" s="172"/>
    </row>
    <row r="72" spans="1:7" ht="15">
      <c r="A72" s="172"/>
      <c r="B72" s="173"/>
      <c r="C72" s="174"/>
      <c r="D72" s="173"/>
      <c r="E72" s="173"/>
      <c r="F72" s="175"/>
      <c r="G72" s="172"/>
    </row>
    <row r="73" spans="1:7" ht="15">
      <c r="A73" s="172"/>
      <c r="B73" s="173"/>
      <c r="C73" s="174"/>
      <c r="D73" s="173"/>
      <c r="E73" s="173"/>
      <c r="F73" s="175"/>
      <c r="G73" s="172"/>
    </row>
    <row r="74" spans="1:7" ht="15">
      <c r="A74" s="172"/>
      <c r="B74" s="173"/>
      <c r="C74" s="174"/>
      <c r="D74" s="173"/>
      <c r="E74" s="173"/>
      <c r="F74" s="175"/>
      <c r="G74" s="172"/>
    </row>
    <row r="75" spans="1:7" ht="15">
      <c r="A75" s="172"/>
      <c r="B75" s="173"/>
      <c r="C75" s="174"/>
      <c r="D75" s="173"/>
      <c r="E75" s="173"/>
      <c r="F75" s="175"/>
      <c r="G75" s="172"/>
    </row>
    <row r="76" spans="1:7" ht="15">
      <c r="A76" s="172"/>
      <c r="B76" s="173"/>
      <c r="C76" s="174"/>
      <c r="D76" s="173"/>
      <c r="E76" s="173"/>
      <c r="F76" s="175"/>
      <c r="G76" s="172"/>
    </row>
    <row r="77" spans="1:7" ht="15">
      <c r="A77" s="172"/>
      <c r="B77" s="173"/>
      <c r="C77" s="174"/>
      <c r="D77" s="173"/>
      <c r="E77" s="173"/>
      <c r="F77" s="175"/>
      <c r="G77" s="172"/>
    </row>
    <row r="78" spans="1:7" ht="15">
      <c r="A78" s="172"/>
      <c r="B78" s="173"/>
      <c r="C78" s="174"/>
      <c r="D78" s="173"/>
      <c r="E78" s="173"/>
      <c r="F78" s="175"/>
      <c r="G78" s="172"/>
    </row>
    <row r="79" spans="1:7" ht="15">
      <c r="A79" s="172"/>
      <c r="B79" s="173"/>
      <c r="C79" s="174"/>
      <c r="D79" s="173"/>
      <c r="E79" s="173"/>
      <c r="F79" s="175"/>
      <c r="G79" s="172"/>
    </row>
    <row r="80" spans="1:7" ht="15">
      <c r="A80" s="172"/>
      <c r="B80" s="173"/>
      <c r="C80" s="174"/>
      <c r="D80" s="173"/>
      <c r="E80" s="173"/>
      <c r="F80" s="175"/>
      <c r="G80" s="172"/>
    </row>
    <row r="81" spans="1:7" ht="15">
      <c r="A81" s="172"/>
      <c r="B81" s="173"/>
      <c r="C81" s="174"/>
      <c r="D81" s="173"/>
      <c r="E81" s="173"/>
      <c r="F81" s="175"/>
      <c r="G81" s="172"/>
    </row>
    <row r="82" spans="1:7" ht="15">
      <c r="A82" s="172"/>
      <c r="B82" s="173"/>
      <c r="C82" s="174"/>
      <c r="D82" s="173"/>
      <c r="E82" s="173"/>
      <c r="F82" s="175"/>
      <c r="G82" s="172"/>
    </row>
    <row r="83" spans="1:7" ht="15">
      <c r="A83" s="172"/>
      <c r="B83" s="173"/>
      <c r="C83" s="174"/>
      <c r="D83" s="173"/>
      <c r="E83" s="173"/>
      <c r="F83" s="175"/>
      <c r="G83" s="172"/>
    </row>
    <row r="84" spans="1:7" ht="15">
      <c r="A84" s="172"/>
      <c r="B84" s="173"/>
      <c r="C84" s="174"/>
      <c r="D84" s="173"/>
      <c r="E84" s="173"/>
      <c r="F84" s="175"/>
      <c r="G84" s="172"/>
    </row>
    <row r="85" spans="1:7" ht="15">
      <c r="A85" s="172"/>
      <c r="B85" s="173"/>
      <c r="C85" s="174"/>
      <c r="D85" s="173"/>
      <c r="E85" s="173"/>
      <c r="F85" s="175"/>
      <c r="G85" s="172"/>
    </row>
    <row r="86" spans="1:7" ht="15">
      <c r="A86" s="172"/>
      <c r="B86" s="173"/>
      <c r="C86" s="174"/>
      <c r="D86" s="173"/>
      <c r="E86" s="173"/>
      <c r="F86" s="175"/>
      <c r="G86" s="172"/>
    </row>
    <row r="87" spans="1:7" ht="15">
      <c r="A87" s="172"/>
      <c r="B87" s="173"/>
      <c r="C87" s="174"/>
      <c r="D87" s="173"/>
      <c r="E87" s="173"/>
      <c r="F87" s="175"/>
      <c r="G87" s="172"/>
    </row>
    <row r="88" spans="1:7" ht="15">
      <c r="A88" s="172"/>
      <c r="B88" s="173"/>
      <c r="C88" s="174"/>
      <c r="D88" s="173"/>
      <c r="E88" s="173"/>
      <c r="F88" s="175"/>
      <c r="G88" s="172"/>
    </row>
    <row r="89" spans="1:7" ht="15">
      <c r="A89" s="172"/>
      <c r="B89" s="173"/>
      <c r="C89" s="174"/>
      <c r="D89" s="173"/>
      <c r="E89" s="173"/>
      <c r="F89" s="175"/>
      <c r="G89" s="172"/>
    </row>
    <row r="90" spans="1:7" ht="15">
      <c r="A90" s="172"/>
      <c r="B90" s="173"/>
      <c r="C90" s="174"/>
      <c r="D90" s="173"/>
      <c r="E90" s="173"/>
      <c r="F90" s="175"/>
      <c r="G90" s="172"/>
    </row>
    <row r="91" spans="1:7" ht="15">
      <c r="A91" s="172"/>
      <c r="B91" s="173"/>
      <c r="C91" s="174"/>
      <c r="D91" s="173"/>
      <c r="E91" s="173"/>
      <c r="F91" s="175"/>
      <c r="G91" s="172"/>
    </row>
    <row r="92" spans="1:7" ht="15">
      <c r="A92" s="172"/>
      <c r="B92" s="173"/>
      <c r="C92" s="174"/>
      <c r="D92" s="173"/>
      <c r="E92" s="173"/>
      <c r="F92" s="175"/>
      <c r="G92" s="172"/>
    </row>
    <row r="93" spans="1:7" ht="15">
      <c r="A93" s="172"/>
      <c r="B93" s="173"/>
      <c r="C93" s="174"/>
      <c r="D93" s="173"/>
      <c r="E93" s="173"/>
      <c r="F93" s="175"/>
      <c r="G93" s="172"/>
    </row>
    <row r="94" spans="1:7" ht="15">
      <c r="A94" s="172"/>
      <c r="B94" s="173"/>
      <c r="C94" s="174"/>
      <c r="D94" s="173"/>
      <c r="E94" s="173"/>
      <c r="F94" s="175"/>
      <c r="G94" s="172"/>
    </row>
    <row r="95" spans="1:7" ht="15">
      <c r="A95" s="172"/>
      <c r="B95" s="173"/>
      <c r="C95" s="174"/>
      <c r="D95" s="173"/>
      <c r="E95" s="173"/>
      <c r="F95" s="175"/>
      <c r="G95" s="172"/>
    </row>
    <row r="96" spans="1:7" ht="15">
      <c r="A96" s="172"/>
      <c r="B96" s="173"/>
      <c r="C96" s="174"/>
      <c r="D96" s="173"/>
      <c r="E96" s="173"/>
      <c r="F96" s="175"/>
      <c r="G96" s="172"/>
    </row>
    <row r="97" spans="1:7" ht="15">
      <c r="A97" s="172"/>
      <c r="B97" s="173"/>
      <c r="C97" s="174"/>
      <c r="D97" s="173"/>
      <c r="E97" s="173"/>
      <c r="F97" s="175"/>
      <c r="G97" s="172"/>
    </row>
    <row r="98" spans="1:7" ht="15">
      <c r="A98" s="172"/>
      <c r="B98" s="173"/>
      <c r="C98" s="174"/>
      <c r="D98" s="173"/>
      <c r="E98" s="173"/>
      <c r="F98" s="175"/>
      <c r="G98" s="172"/>
    </row>
    <row r="99" spans="1:7" ht="15">
      <c r="A99" s="172"/>
      <c r="B99" s="173"/>
      <c r="C99" s="174"/>
      <c r="D99" s="173"/>
      <c r="E99" s="173"/>
      <c r="F99" s="175"/>
      <c r="G99" s="172"/>
    </row>
    <row r="100" spans="1:7" ht="15">
      <c r="A100" s="172"/>
      <c r="B100" s="173"/>
      <c r="C100" s="174"/>
      <c r="D100" s="173"/>
      <c r="E100" s="173"/>
      <c r="F100" s="175"/>
      <c r="G100" s="172"/>
    </row>
    <row r="101" spans="1:7" ht="15">
      <c r="A101" s="172"/>
      <c r="B101" s="173"/>
      <c r="C101" s="174"/>
      <c r="D101" s="173"/>
      <c r="E101" s="173"/>
      <c r="F101" s="175"/>
      <c r="G101" s="172"/>
    </row>
    <row r="102" spans="1:7" ht="15">
      <c r="A102" s="172"/>
      <c r="B102" s="173"/>
      <c r="C102" s="174"/>
      <c r="D102" s="173"/>
      <c r="E102" s="173"/>
      <c r="F102" s="175"/>
      <c r="G102" s="172"/>
    </row>
    <row r="103" spans="1:7" ht="15">
      <c r="A103" s="172"/>
      <c r="B103" s="173"/>
      <c r="C103" s="174"/>
      <c r="D103" s="173"/>
      <c r="E103" s="173"/>
      <c r="F103" s="175"/>
      <c r="G103" s="172"/>
    </row>
    <row r="104" spans="1:7" ht="15">
      <c r="A104" s="172"/>
      <c r="B104" s="173"/>
      <c r="C104" s="174"/>
      <c r="D104" s="173"/>
      <c r="E104" s="173"/>
      <c r="F104" s="175"/>
      <c r="G104" s="172"/>
    </row>
    <row r="105" spans="1:7" ht="15">
      <c r="A105" s="172"/>
      <c r="B105" s="173"/>
      <c r="C105" s="174"/>
      <c r="D105" s="173"/>
      <c r="E105" s="173"/>
      <c r="F105" s="175"/>
      <c r="G105" s="172"/>
    </row>
    <row r="106" spans="1:7" ht="15">
      <c r="A106" s="172"/>
      <c r="B106" s="173"/>
      <c r="C106" s="174"/>
      <c r="D106" s="173"/>
      <c r="E106" s="173"/>
      <c r="F106" s="175"/>
      <c r="G106" s="172"/>
    </row>
    <row r="107" spans="1:7" ht="15">
      <c r="A107" s="172"/>
      <c r="B107" s="173"/>
      <c r="C107" s="174"/>
      <c r="D107" s="173"/>
      <c r="E107" s="173"/>
      <c r="F107" s="175"/>
      <c r="G107" s="172"/>
    </row>
    <row r="108" spans="1:7" ht="15">
      <c r="A108" s="172"/>
      <c r="B108" s="173"/>
      <c r="C108" s="174"/>
      <c r="D108" s="173"/>
      <c r="E108" s="173"/>
      <c r="F108" s="175"/>
      <c r="G108" s="172"/>
    </row>
    <row r="109" spans="1:7" ht="15">
      <c r="A109" s="172"/>
      <c r="B109" s="173"/>
      <c r="C109" s="174"/>
      <c r="D109" s="173"/>
      <c r="E109" s="173"/>
      <c r="F109" s="175"/>
      <c r="G109" s="172"/>
    </row>
    <row r="110" spans="1:7" ht="15">
      <c r="A110" s="172"/>
      <c r="B110" s="173"/>
      <c r="C110" s="174"/>
      <c r="D110" s="173"/>
      <c r="E110" s="173"/>
      <c r="F110" s="175"/>
      <c r="G110" s="172"/>
    </row>
    <row r="111" spans="1:7" ht="15">
      <c r="A111" s="172"/>
      <c r="B111" s="173"/>
      <c r="C111" s="174"/>
      <c r="D111" s="173"/>
      <c r="E111" s="173"/>
      <c r="F111" s="175"/>
      <c r="G111" s="172"/>
    </row>
    <row r="112" spans="1:7" ht="15">
      <c r="A112" s="172"/>
      <c r="B112" s="173"/>
      <c r="C112" s="174"/>
      <c r="D112" s="173"/>
      <c r="E112" s="173"/>
      <c r="F112" s="175"/>
      <c r="G112" s="172"/>
    </row>
    <row r="113" spans="1:7" ht="15">
      <c r="A113" s="172"/>
      <c r="B113" s="173"/>
      <c r="C113" s="174"/>
      <c r="D113" s="173"/>
      <c r="E113" s="173"/>
      <c r="F113" s="175"/>
      <c r="G113" s="172"/>
    </row>
    <row r="114" spans="1:7" ht="15">
      <c r="A114" s="172"/>
      <c r="B114" s="173"/>
      <c r="C114" s="174"/>
      <c r="D114" s="173"/>
      <c r="E114" s="173"/>
      <c r="F114" s="175"/>
      <c r="G114" s="172"/>
    </row>
    <row r="115" spans="1:7" ht="15">
      <c r="A115" s="172"/>
      <c r="B115" s="173"/>
      <c r="C115" s="174"/>
      <c r="D115" s="173"/>
      <c r="E115" s="173"/>
      <c r="F115" s="175"/>
      <c r="G115" s="172"/>
    </row>
    <row r="116" spans="1:7" ht="15">
      <c r="A116" s="172"/>
      <c r="B116" s="173"/>
      <c r="C116" s="174"/>
      <c r="D116" s="173"/>
      <c r="E116" s="173"/>
      <c r="F116" s="175"/>
      <c r="G116" s="172"/>
    </row>
    <row r="117" spans="1:7" ht="15">
      <c r="A117" s="172"/>
      <c r="B117" s="173"/>
      <c r="C117" s="174"/>
      <c r="D117" s="173"/>
      <c r="E117" s="173"/>
      <c r="F117" s="175"/>
      <c r="G117" s="172"/>
    </row>
    <row r="118" spans="1:7" ht="15">
      <c r="A118" s="172"/>
      <c r="B118" s="173"/>
      <c r="C118" s="174"/>
      <c r="D118" s="173"/>
      <c r="E118" s="173"/>
      <c r="F118" s="175"/>
      <c r="G118" s="172"/>
    </row>
    <row r="119" spans="1:7" ht="15">
      <c r="A119" s="172"/>
      <c r="B119" s="173"/>
      <c r="C119" s="174"/>
      <c r="D119" s="173"/>
      <c r="E119" s="173"/>
      <c r="F119" s="175"/>
      <c r="G119" s="172"/>
    </row>
    <row r="120" spans="1:7" ht="15">
      <c r="A120" s="172"/>
      <c r="B120" s="173"/>
      <c r="C120" s="174"/>
      <c r="D120" s="173"/>
      <c r="E120" s="173"/>
      <c r="F120" s="175"/>
      <c r="G120" s="172"/>
    </row>
    <row r="121" spans="1:7" ht="15">
      <c r="A121" s="172"/>
      <c r="B121" s="173"/>
      <c r="C121" s="174"/>
      <c r="D121" s="173"/>
      <c r="E121" s="173"/>
      <c r="F121" s="175"/>
      <c r="G121" s="172"/>
    </row>
    <row r="122" spans="1:7" ht="15">
      <c r="A122" s="172"/>
      <c r="B122" s="173"/>
      <c r="C122" s="174"/>
      <c r="D122" s="173"/>
      <c r="E122" s="173"/>
      <c r="F122" s="175"/>
      <c r="G122" s="172"/>
    </row>
    <row r="123" spans="1:7" ht="15">
      <c r="A123" s="172"/>
      <c r="B123" s="173"/>
      <c r="C123" s="174"/>
      <c r="D123" s="173"/>
      <c r="E123" s="173"/>
      <c r="F123" s="175"/>
      <c r="G123" s="172"/>
    </row>
    <row r="124" spans="1:7" ht="15">
      <c r="A124" s="172"/>
      <c r="B124" s="173"/>
      <c r="C124" s="174"/>
      <c r="D124" s="173"/>
      <c r="E124" s="173"/>
      <c r="F124" s="175"/>
      <c r="G124" s="172"/>
    </row>
    <row r="125" spans="1:7" ht="15">
      <c r="A125" s="172"/>
      <c r="B125" s="173"/>
      <c r="C125" s="174"/>
      <c r="D125" s="173"/>
      <c r="E125" s="173"/>
      <c r="F125" s="175"/>
      <c r="G125" s="172"/>
    </row>
    <row r="126" spans="1:7" ht="15">
      <c r="A126" s="172"/>
      <c r="B126" s="173"/>
      <c r="C126" s="174"/>
      <c r="D126" s="173"/>
      <c r="E126" s="173"/>
      <c r="F126" s="175"/>
      <c r="G126" s="172"/>
    </row>
    <row r="127" spans="1:7" ht="15">
      <c r="A127" s="172"/>
      <c r="B127" s="173"/>
      <c r="C127" s="174"/>
      <c r="D127" s="173"/>
      <c r="E127" s="173"/>
      <c r="F127" s="175"/>
      <c r="G127" s="172"/>
    </row>
    <row r="128" spans="1:7" ht="15">
      <c r="A128" s="172"/>
      <c r="B128" s="173"/>
      <c r="C128" s="174"/>
      <c r="D128" s="173"/>
      <c r="E128" s="173"/>
      <c r="F128" s="175"/>
      <c r="G128" s="172"/>
    </row>
    <row r="129" spans="1:7" ht="15">
      <c r="A129" s="172"/>
      <c r="B129" s="173"/>
      <c r="C129" s="174"/>
      <c r="D129" s="173"/>
      <c r="E129" s="173"/>
      <c r="F129" s="175"/>
      <c r="G129" s="172"/>
    </row>
    <row r="130" spans="1:7" ht="15">
      <c r="A130" s="172"/>
      <c r="B130" s="173"/>
      <c r="C130" s="174"/>
      <c r="D130" s="173"/>
      <c r="E130" s="173"/>
      <c r="F130" s="175"/>
      <c r="G130" s="172"/>
    </row>
    <row r="131" spans="1:7" ht="15">
      <c r="A131" s="172"/>
      <c r="B131" s="173"/>
      <c r="C131" s="174"/>
      <c r="D131" s="173"/>
      <c r="E131" s="173"/>
      <c r="F131" s="175"/>
      <c r="G131" s="172"/>
    </row>
    <row r="132" spans="1:7" ht="15">
      <c r="A132" s="172"/>
      <c r="B132" s="173"/>
      <c r="C132" s="174"/>
      <c r="D132" s="173"/>
      <c r="E132" s="173"/>
      <c r="F132" s="175"/>
      <c r="G132" s="172"/>
    </row>
  </sheetData>
  <sheetProtection/>
  <mergeCells count="12">
    <mergeCell ref="B2:D2"/>
    <mergeCell ref="B17:N18"/>
    <mergeCell ref="D20:D21"/>
    <mergeCell ref="F20:F21"/>
    <mergeCell ref="H20:H21"/>
    <mergeCell ref="J20:J21"/>
    <mergeCell ref="B4:N5"/>
    <mergeCell ref="B6:N7"/>
    <mergeCell ref="B8:N9"/>
    <mergeCell ref="B10:N11"/>
    <mergeCell ref="B12:N13"/>
    <mergeCell ref="D15:K15"/>
  </mergeCells>
  <conditionalFormatting sqref="B8">
    <cfRule type="cellIs" priority="4" dxfId="23" operator="lessThan" stopIfTrue="1">
      <formula>0</formula>
    </cfRule>
  </conditionalFormatting>
  <conditionalFormatting sqref="B10">
    <cfRule type="cellIs" priority="3" dxfId="23" operator="lessThan" stopIfTrue="1">
      <formula>0</formula>
    </cfRule>
  </conditionalFormatting>
  <conditionalFormatting sqref="B12">
    <cfRule type="cellIs" priority="2" dxfId="23" operator="lessThan" stopIfTrue="1">
      <formula>0</formula>
    </cfRule>
  </conditionalFormatting>
  <conditionalFormatting sqref="B6">
    <cfRule type="cellIs" priority="1" dxfId="23" operator="lessThan" stopIfTrue="1">
      <formula>0</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4"/>
  <dimension ref="A1:N273"/>
  <sheetViews>
    <sheetView zoomScalePageLayoutView="0" workbookViewId="0" topLeftCell="A1">
      <selection activeCell="C2" sqref="C2"/>
    </sheetView>
  </sheetViews>
  <sheetFormatPr defaultColWidth="11.421875" defaultRowHeight="15"/>
  <cols>
    <col min="1" max="1" width="3.57421875" style="157" customWidth="1"/>
    <col min="2" max="2" width="35.8515625" style="157" bestFit="1" customWidth="1"/>
    <col min="3" max="3" width="20.140625" style="139" customWidth="1"/>
    <col min="4" max="4" width="9.00390625" style="139" hidden="1" customWidth="1"/>
    <col min="5" max="5" width="12.57421875" style="158" customWidth="1"/>
    <col min="6" max="6" width="15.7109375" style="139" customWidth="1"/>
    <col min="7" max="7" width="14.00390625" style="158" bestFit="1" customWidth="1"/>
    <col min="8" max="8" width="16.00390625" style="139" customWidth="1"/>
    <col min="9" max="9" width="2.57421875" style="139" customWidth="1"/>
    <col min="10" max="10" width="14.57421875" style="159" customWidth="1"/>
    <col min="11" max="11" width="3.7109375" style="157" customWidth="1"/>
    <col min="12" max="12" width="3.7109375" style="156" customWidth="1"/>
    <col min="13" max="13" width="4.140625" style="156" customWidth="1"/>
    <col min="14" max="14" width="4.7109375" style="156" customWidth="1"/>
    <col min="15" max="15" width="4.57421875" style="156" customWidth="1"/>
    <col min="16" max="16384" width="11.421875" style="156" customWidth="1"/>
  </cols>
  <sheetData>
    <row r="1" spans="1:11" ht="15.75" thickBot="1">
      <c r="A1" s="165"/>
      <c r="B1" s="166"/>
      <c r="C1" s="167"/>
      <c r="D1" s="167"/>
      <c r="E1" s="168"/>
      <c r="F1" s="167"/>
      <c r="G1" s="168"/>
      <c r="H1" s="167"/>
      <c r="I1" s="165"/>
      <c r="J1" s="169"/>
      <c r="K1" s="165"/>
    </row>
    <row r="2" spans="1:11" ht="15.75" thickBot="1">
      <c r="A2" s="165"/>
      <c r="B2" s="170" t="s">
        <v>187</v>
      </c>
      <c r="C2" s="171">
        <f>('DEMANDE DE PERSONNEL'!O63+'DEMANDE DE PERSONNEL'!T63)*151.67</f>
        <v>0</v>
      </c>
      <c r="D2" s="167"/>
      <c r="E2" s="168"/>
      <c r="F2" s="167"/>
      <c r="G2" s="168"/>
      <c r="H2" s="167"/>
      <c r="I2" s="165"/>
      <c r="J2" s="169"/>
      <c r="K2" s="165"/>
    </row>
    <row r="3" spans="1:11" ht="15.75" thickBot="1">
      <c r="A3" s="172"/>
      <c r="B3" s="166"/>
      <c r="C3" s="173"/>
      <c r="D3" s="173"/>
      <c r="E3" s="174"/>
      <c r="F3" s="166"/>
      <c r="G3" s="174"/>
      <c r="H3" s="173"/>
      <c r="I3" s="173"/>
      <c r="J3" s="175"/>
      <c r="K3" s="172"/>
    </row>
    <row r="4" spans="1:11" ht="15">
      <c r="A4" s="172"/>
      <c r="B4" s="176" t="s">
        <v>95</v>
      </c>
      <c r="C4" s="177">
        <f>C2</f>
        <v>0</v>
      </c>
      <c r="D4" s="178"/>
      <c r="E4" s="174"/>
      <c r="F4" s="140"/>
      <c r="G4" s="141"/>
      <c r="H4" s="367" t="s">
        <v>233</v>
      </c>
      <c r="I4" s="173"/>
      <c r="J4" s="175"/>
      <c r="K4" s="172"/>
    </row>
    <row r="5" spans="1:11" ht="15">
      <c r="A5" s="172"/>
      <c r="B5" s="179" t="s">
        <v>96</v>
      </c>
      <c r="C5" s="180">
        <v>0</v>
      </c>
      <c r="D5" s="178"/>
      <c r="E5" s="155"/>
      <c r="F5" s="341"/>
      <c r="G5" s="341"/>
      <c r="H5" s="341"/>
      <c r="I5" s="173"/>
      <c r="J5" s="175"/>
      <c r="K5" s="172"/>
    </row>
    <row r="6" spans="1:11" ht="15">
      <c r="A6" s="172"/>
      <c r="B6" s="179" t="s">
        <v>97</v>
      </c>
      <c r="C6" s="181">
        <f>D11</f>
        <v>0</v>
      </c>
      <c r="D6" s="178"/>
      <c r="E6" s="174"/>
      <c r="F6" s="140"/>
      <c r="G6" s="142"/>
      <c r="H6" s="140"/>
      <c r="I6" s="173"/>
      <c r="J6" s="175"/>
      <c r="K6" s="172"/>
    </row>
    <row r="7" spans="1:11" ht="15">
      <c r="A7" s="172"/>
      <c r="B7" s="179" t="s">
        <v>98</v>
      </c>
      <c r="C7" s="273">
        <f>Brut_de_base_hors_TEPA2+C5+brut_TEPA2</f>
        <v>0</v>
      </c>
      <c r="D7" s="178"/>
      <c r="E7" s="174"/>
      <c r="F7" s="353" t="s">
        <v>183</v>
      </c>
      <c r="G7" s="353"/>
      <c r="H7" s="353"/>
      <c r="I7" s="353"/>
      <c r="J7" s="353"/>
      <c r="K7" s="172"/>
    </row>
    <row r="8" spans="1:11" ht="15">
      <c r="A8" s="172"/>
      <c r="B8" s="179" t="s">
        <v>99</v>
      </c>
      <c r="C8" s="182">
        <v>151.67</v>
      </c>
      <c r="D8" s="178"/>
      <c r="E8" s="174"/>
      <c r="F8" s="353"/>
      <c r="G8" s="353"/>
      <c r="H8" s="353"/>
      <c r="I8" s="353"/>
      <c r="J8" s="353"/>
      <c r="K8" s="172"/>
    </row>
    <row r="9" spans="1:11" ht="15">
      <c r="A9" s="172"/>
      <c r="B9" s="179" t="s">
        <v>100</v>
      </c>
      <c r="C9" s="182">
        <v>35</v>
      </c>
      <c r="D9" s="178"/>
      <c r="E9" s="174"/>
      <c r="F9" s="354"/>
      <c r="G9" s="355"/>
      <c r="H9" s="355"/>
      <c r="I9" s="355"/>
      <c r="J9" s="355"/>
      <c r="K9" s="172"/>
    </row>
    <row r="10" spans="1:11" ht="15">
      <c r="A10" s="172"/>
      <c r="B10" s="179" t="s">
        <v>101</v>
      </c>
      <c r="C10" s="182">
        <v>35</v>
      </c>
      <c r="D10" s="178"/>
      <c r="E10" s="174"/>
      <c r="F10" s="355"/>
      <c r="G10" s="355"/>
      <c r="H10" s="355"/>
      <c r="I10" s="355"/>
      <c r="J10" s="355"/>
      <c r="K10" s="172"/>
    </row>
    <row r="11" spans="1:11" ht="15" customHeight="1">
      <c r="A11" s="172"/>
      <c r="B11" s="183" t="s">
        <v>102</v>
      </c>
      <c r="C11" s="182">
        <v>0</v>
      </c>
      <c r="D11" s="184">
        <f>(C11*125%)*(Brut_de_base_hors_TEPA2/C8)</f>
        <v>0</v>
      </c>
      <c r="E11" s="172"/>
      <c r="F11" s="356">
        <f>H87</f>
        <v>-23.44</v>
      </c>
      <c r="G11" s="356"/>
      <c r="H11" s="356"/>
      <c r="I11" s="356"/>
      <c r="J11" s="356"/>
      <c r="K11" s="172"/>
    </row>
    <row r="12" spans="1:11" ht="15" customHeight="1">
      <c r="A12" s="172"/>
      <c r="B12" s="183" t="s">
        <v>103</v>
      </c>
      <c r="C12" s="182">
        <v>0</v>
      </c>
      <c r="D12" s="184">
        <f>(C12*150%)*(Brut_de_base_hors_TEPA2/C8)</f>
        <v>0</v>
      </c>
      <c r="E12" s="172"/>
      <c r="F12" s="356"/>
      <c r="G12" s="356"/>
      <c r="H12" s="356"/>
      <c r="I12" s="356"/>
      <c r="J12" s="356"/>
      <c r="K12" s="172"/>
    </row>
    <row r="13" spans="1:11" ht="15" customHeight="1">
      <c r="A13" s="172"/>
      <c r="B13" s="185" t="s">
        <v>104</v>
      </c>
      <c r="C13" s="186" t="e">
        <f>IF((SUM(I28:I59)+Csg_rds_hres_sup2)/BRUT_TOTAL2&lt;0.215,(SUM(I28:I59)+Csg_rds_hres_sup2)/BRUT_TOTAL2,0.215)</f>
        <v>#REF!</v>
      </c>
      <c r="D13" s="187"/>
      <c r="E13" s="174"/>
      <c r="F13" s="354">
        <f>3!H87</f>
        <v>-23.44</v>
      </c>
      <c r="G13" s="355"/>
      <c r="H13" s="355"/>
      <c r="I13" s="355"/>
      <c r="J13" s="355"/>
      <c r="K13" s="172"/>
    </row>
    <row r="14" spans="1:11" ht="15">
      <c r="A14" s="172"/>
      <c r="B14" s="185" t="s">
        <v>105</v>
      </c>
      <c r="C14" s="188" t="e">
        <f>IF(C13&lt;0.215,"vrai","faux")</f>
        <v>#REF!</v>
      </c>
      <c r="D14" s="189"/>
      <c r="E14" s="174"/>
      <c r="F14" s="355"/>
      <c r="G14" s="355"/>
      <c r="H14" s="355"/>
      <c r="I14" s="355"/>
      <c r="J14" s="355"/>
      <c r="K14" s="172"/>
    </row>
    <row r="15" spans="1:11" ht="15">
      <c r="A15" s="172"/>
      <c r="B15" s="185" t="s">
        <v>106</v>
      </c>
      <c r="C15" s="190" t="e">
        <f>brut_TEPA2*C13</f>
        <v>#REF!</v>
      </c>
      <c r="D15" s="189"/>
      <c r="E15" s="174"/>
      <c r="F15" s="354">
        <f>4!H87</f>
        <v>1809.18</v>
      </c>
      <c r="G15" s="355"/>
      <c r="H15" s="355"/>
      <c r="I15" s="355"/>
      <c r="J15" s="355"/>
      <c r="K15" s="172"/>
    </row>
    <row r="16" spans="1:11" ht="15">
      <c r="A16" s="172"/>
      <c r="B16" s="183" t="s">
        <v>107</v>
      </c>
      <c r="C16" s="191">
        <f>IF(C17&gt;0,C17,PMSS2*Nb_d_h_rémunérées_2/151.67)</f>
        <v>2859</v>
      </c>
      <c r="D16" s="189"/>
      <c r="E16" s="172"/>
      <c r="F16" s="355"/>
      <c r="G16" s="355"/>
      <c r="H16" s="355"/>
      <c r="I16" s="355"/>
      <c r="J16" s="355"/>
      <c r="K16" s="172"/>
    </row>
    <row r="17" spans="1:11" ht="15">
      <c r="A17" s="172"/>
      <c r="B17" s="183" t="s">
        <v>108</v>
      </c>
      <c r="C17" s="180"/>
      <c r="D17" s="189"/>
      <c r="E17" s="192"/>
      <c r="F17" s="173"/>
      <c r="G17" s="173"/>
      <c r="H17" s="173"/>
      <c r="I17" s="173"/>
      <c r="J17" s="173"/>
      <c r="K17" s="172"/>
    </row>
    <row r="18" spans="1:14" ht="18">
      <c r="A18" s="172"/>
      <c r="B18" s="179" t="s">
        <v>109</v>
      </c>
      <c r="C18" s="180">
        <v>2859</v>
      </c>
      <c r="D18" s="178"/>
      <c r="E18" s="174"/>
      <c r="F18" s="244"/>
      <c r="G18" s="173"/>
      <c r="H18" s="173"/>
      <c r="I18" s="173"/>
      <c r="J18" s="173"/>
      <c r="K18" s="275"/>
      <c r="L18" s="276"/>
      <c r="M18" s="276"/>
      <c r="N18" s="276"/>
    </row>
    <row r="19" spans="1:11" ht="15">
      <c r="A19" s="172"/>
      <c r="B19" s="179" t="s">
        <v>110</v>
      </c>
      <c r="C19" s="180">
        <v>290.17</v>
      </c>
      <c r="D19" s="178"/>
      <c r="E19" s="174"/>
      <c r="F19" s="173"/>
      <c r="G19" s="173"/>
      <c r="H19" s="173"/>
      <c r="I19" s="173"/>
      <c r="J19" s="173"/>
      <c r="K19" s="172"/>
    </row>
    <row r="20" spans="1:11" ht="15">
      <c r="A20" s="172"/>
      <c r="B20" s="179" t="s">
        <v>111</v>
      </c>
      <c r="C20" s="180">
        <v>9.61</v>
      </c>
      <c r="D20" s="178"/>
      <c r="E20" s="174"/>
      <c r="F20" s="173"/>
      <c r="G20" s="174"/>
      <c r="H20" s="173"/>
      <c r="I20" s="140"/>
      <c r="J20" s="175"/>
      <c r="K20" s="172"/>
    </row>
    <row r="21" spans="1:11" ht="15">
      <c r="A21" s="172"/>
      <c r="B21" s="179" t="s">
        <v>112</v>
      </c>
      <c r="C21" s="193"/>
      <c r="D21" s="194" t="b">
        <v>0</v>
      </c>
      <c r="E21" s="174"/>
      <c r="F21" s="173"/>
      <c r="G21" s="174"/>
      <c r="H21" s="173"/>
      <c r="I21" s="140"/>
      <c r="J21" s="175"/>
      <c r="K21" s="172"/>
    </row>
    <row r="22" spans="1:11" ht="15">
      <c r="A22" s="172"/>
      <c r="B22" s="179" t="s">
        <v>113</v>
      </c>
      <c r="C22" s="195"/>
      <c r="D22" s="194" t="b">
        <v>0</v>
      </c>
      <c r="E22" s="174"/>
      <c r="F22" s="173"/>
      <c r="G22" s="174"/>
      <c r="H22" s="196"/>
      <c r="I22" s="140"/>
      <c r="J22" s="175"/>
      <c r="K22" s="172"/>
    </row>
    <row r="23" spans="1:11" ht="15.75" thickBot="1">
      <c r="A23" s="172"/>
      <c r="B23" s="197" t="s">
        <v>114</v>
      </c>
      <c r="C23" s="198"/>
      <c r="D23" s="199" t="b">
        <v>1</v>
      </c>
      <c r="E23" s="174"/>
      <c r="F23" s="348" t="s">
        <v>184</v>
      </c>
      <c r="G23" s="348"/>
      <c r="H23" s="348"/>
      <c r="I23" s="348"/>
      <c r="J23" s="348"/>
      <c r="K23" s="172"/>
    </row>
    <row r="24" spans="1:11" ht="15">
      <c r="A24" s="172"/>
      <c r="B24" s="172"/>
      <c r="C24" s="200"/>
      <c r="D24" s="200"/>
      <c r="E24" s="174"/>
      <c r="F24" s="173"/>
      <c r="G24" s="174"/>
      <c r="H24" s="173"/>
      <c r="I24" s="173"/>
      <c r="J24" s="175"/>
      <c r="K24" s="172"/>
    </row>
    <row r="25" spans="1:11" ht="15">
      <c r="A25" s="172"/>
      <c r="B25" s="160" t="s">
        <v>115</v>
      </c>
      <c r="C25" s="161" t="s">
        <v>116</v>
      </c>
      <c r="D25" s="161"/>
      <c r="E25" s="162" t="s">
        <v>117</v>
      </c>
      <c r="F25" s="161" t="s">
        <v>118</v>
      </c>
      <c r="G25" s="349" t="s">
        <v>119</v>
      </c>
      <c r="H25" s="350"/>
      <c r="I25" s="201"/>
      <c r="J25" s="269" t="s">
        <v>120</v>
      </c>
      <c r="K25" s="172"/>
    </row>
    <row r="26" spans="1:11" ht="15">
      <c r="A26" s="172"/>
      <c r="B26" s="202"/>
      <c r="C26" s="143"/>
      <c r="D26" s="203"/>
      <c r="E26" s="204"/>
      <c r="F26" s="143"/>
      <c r="G26" s="204"/>
      <c r="H26" s="144"/>
      <c r="I26" s="205"/>
      <c r="J26" s="206"/>
      <c r="K26" s="172"/>
    </row>
    <row r="27" spans="1:11" ht="15">
      <c r="A27" s="172"/>
      <c r="B27" s="163" t="s">
        <v>121</v>
      </c>
      <c r="C27" s="143"/>
      <c r="D27" s="203"/>
      <c r="E27" s="208"/>
      <c r="F27" s="143"/>
      <c r="G27" s="204"/>
      <c r="H27" s="144"/>
      <c r="I27" s="205"/>
      <c r="J27" s="206"/>
      <c r="K27" s="172"/>
    </row>
    <row r="28" spans="1:11" ht="15">
      <c r="A28" s="172"/>
      <c r="B28" s="202" t="s">
        <v>122</v>
      </c>
      <c r="C28" s="143">
        <f>BRUT_TOTAL2</f>
        <v>0</v>
      </c>
      <c r="D28" s="203"/>
      <c r="E28" s="209">
        <v>0.0075</v>
      </c>
      <c r="F28" s="143">
        <f>ROUNDDOWN($C28*E28,2)</f>
        <v>0</v>
      </c>
      <c r="G28" s="210">
        <v>0.128</v>
      </c>
      <c r="H28" s="144">
        <f aca="true" t="shared" si="0" ref="H28:H54">ROUNDDOWN($C28*G28,2)</f>
        <v>0</v>
      </c>
      <c r="I28" s="205">
        <f>F28</f>
        <v>0</v>
      </c>
      <c r="J28" s="206">
        <f aca="true" t="shared" si="1" ref="J28:J38">E28+G28</f>
        <v>0.1355</v>
      </c>
      <c r="K28" s="172"/>
    </row>
    <row r="29" spans="1:11" ht="15">
      <c r="A29" s="172"/>
      <c r="B29" s="202" t="s">
        <v>123</v>
      </c>
      <c r="C29" s="143">
        <f>BRUT_TOTAL2</f>
        <v>0</v>
      </c>
      <c r="D29" s="203"/>
      <c r="E29" s="211"/>
      <c r="F29" s="143"/>
      <c r="G29" s="210">
        <v>0.003</v>
      </c>
      <c r="H29" s="144">
        <f t="shared" si="0"/>
        <v>0</v>
      </c>
      <c r="I29" s="205">
        <f aca="true" t="shared" si="2" ref="I29:I59">F29</f>
        <v>0</v>
      </c>
      <c r="J29" s="206">
        <f t="shared" si="1"/>
        <v>0.003</v>
      </c>
      <c r="K29" s="172"/>
    </row>
    <row r="30" spans="1:11" ht="15">
      <c r="A30" s="172"/>
      <c r="B30" s="202" t="s">
        <v>124</v>
      </c>
      <c r="C30" s="143">
        <f>IF(BRUT_TOTAL2&gt;Plafond_de_passage2,Plafond_de_passage2,BRUT_TOTAL2)</f>
        <v>0</v>
      </c>
      <c r="D30" s="203"/>
      <c r="E30" s="209">
        <v>0.0665</v>
      </c>
      <c r="F30" s="143">
        <f>ROUNDDOWN($C30*E30,2)</f>
        <v>0</v>
      </c>
      <c r="G30" s="210">
        <v>0.083</v>
      </c>
      <c r="H30" s="144">
        <f t="shared" si="0"/>
        <v>0</v>
      </c>
      <c r="I30" s="205">
        <f t="shared" si="2"/>
        <v>0</v>
      </c>
      <c r="J30" s="206">
        <f t="shared" si="1"/>
        <v>0.14950000000000002</v>
      </c>
      <c r="K30" s="172"/>
    </row>
    <row r="31" spans="1:11" ht="15">
      <c r="A31" s="172"/>
      <c r="B31" s="202" t="s">
        <v>125</v>
      </c>
      <c r="C31" s="143">
        <f>BRUT_TOTAL2</f>
        <v>0</v>
      </c>
      <c r="D31" s="203"/>
      <c r="E31" s="209">
        <v>0.001</v>
      </c>
      <c r="F31" s="143">
        <f>ROUNDDOWN($C31*E31,2)</f>
        <v>0</v>
      </c>
      <c r="G31" s="210">
        <v>0.016</v>
      </c>
      <c r="H31" s="144">
        <f t="shared" si="0"/>
        <v>0</v>
      </c>
      <c r="I31" s="205">
        <f t="shared" si="2"/>
        <v>0</v>
      </c>
      <c r="J31" s="206">
        <f t="shared" si="1"/>
        <v>0.017</v>
      </c>
      <c r="K31" s="172"/>
    </row>
    <row r="32" spans="1:11" ht="15">
      <c r="A32" s="172"/>
      <c r="B32" s="202" t="s">
        <v>126</v>
      </c>
      <c r="C32" s="143">
        <f>BRUT_TOTAL2</f>
        <v>0</v>
      </c>
      <c r="D32" s="203"/>
      <c r="E32" s="211"/>
      <c r="F32" s="143"/>
      <c r="G32" s="210">
        <v>0.054</v>
      </c>
      <c r="H32" s="144">
        <f t="shared" si="0"/>
        <v>0</v>
      </c>
      <c r="I32" s="205">
        <f t="shared" si="2"/>
        <v>0</v>
      </c>
      <c r="J32" s="206">
        <f t="shared" si="1"/>
        <v>0.054</v>
      </c>
      <c r="K32" s="172"/>
    </row>
    <row r="33" spans="1:11" ht="15">
      <c r="A33" s="172"/>
      <c r="B33" s="202" t="s">
        <v>127</v>
      </c>
      <c r="C33" s="143">
        <f>BRUT_TOTAL2</f>
        <v>0</v>
      </c>
      <c r="D33" s="203"/>
      <c r="E33" s="211"/>
      <c r="F33" s="143"/>
      <c r="G33" s="212">
        <v>0.014</v>
      </c>
      <c r="H33" s="144">
        <f t="shared" si="0"/>
        <v>0</v>
      </c>
      <c r="I33" s="205">
        <f t="shared" si="2"/>
        <v>0</v>
      </c>
      <c r="J33" s="206">
        <f t="shared" si="1"/>
        <v>0.014</v>
      </c>
      <c r="K33" s="172"/>
    </row>
    <row r="34" spans="1:11" ht="15">
      <c r="A34" s="172"/>
      <c r="B34" s="202" t="s">
        <v>128</v>
      </c>
      <c r="C34" s="143">
        <f>C30</f>
        <v>0</v>
      </c>
      <c r="D34" s="203"/>
      <c r="E34" s="211"/>
      <c r="F34" s="143"/>
      <c r="G34" s="210">
        <v>0.001</v>
      </c>
      <c r="H34" s="144">
        <f t="shared" si="0"/>
        <v>0</v>
      </c>
      <c r="I34" s="205">
        <f t="shared" si="2"/>
        <v>0</v>
      </c>
      <c r="J34" s="206">
        <f t="shared" si="1"/>
        <v>0.001</v>
      </c>
      <c r="K34" s="172"/>
    </row>
    <row r="35" spans="1:11" ht="15">
      <c r="A35" s="213"/>
      <c r="B35" s="202" t="s">
        <v>129</v>
      </c>
      <c r="C35" s="143">
        <f>IF(D22,BRUT_TOTAL2,0)</f>
        <v>0</v>
      </c>
      <c r="D35" s="203"/>
      <c r="E35" s="211"/>
      <c r="F35" s="143"/>
      <c r="G35" s="208">
        <v>0.004</v>
      </c>
      <c r="H35" s="144">
        <f t="shared" si="0"/>
        <v>0</v>
      </c>
      <c r="I35" s="205">
        <f t="shared" si="2"/>
        <v>0</v>
      </c>
      <c r="J35" s="206">
        <f t="shared" si="1"/>
        <v>0.004</v>
      </c>
      <c r="K35" s="172"/>
    </row>
    <row r="36" spans="1:11" ht="15">
      <c r="A36" s="213" t="b">
        <v>0</v>
      </c>
      <c r="B36" s="202" t="s">
        <v>130</v>
      </c>
      <c r="C36" s="143">
        <f>IF(A36,BRUT_TOTAL2,0)</f>
        <v>0</v>
      </c>
      <c r="D36" s="203"/>
      <c r="E36" s="211"/>
      <c r="F36" s="143"/>
      <c r="G36" s="214">
        <v>0.026</v>
      </c>
      <c r="H36" s="144">
        <f t="shared" si="0"/>
        <v>0</v>
      </c>
      <c r="I36" s="205">
        <f t="shared" si="2"/>
        <v>0</v>
      </c>
      <c r="J36" s="206">
        <f t="shared" si="1"/>
        <v>0.026</v>
      </c>
      <c r="K36" s="172"/>
    </row>
    <row r="37" spans="1:11" ht="15">
      <c r="A37" s="172"/>
      <c r="B37" s="202" t="s">
        <v>131</v>
      </c>
      <c r="C37" s="143"/>
      <c r="D37" s="203"/>
      <c r="E37" s="211"/>
      <c r="F37" s="143"/>
      <c r="G37" s="208"/>
      <c r="H37" s="144" t="e">
        <f>IF(C21,-(BRUT_TOTAL2)*H108,-(BRUT_TOTAL2)*G108)</f>
        <v>#DIV/0!</v>
      </c>
      <c r="I37" s="205">
        <f t="shared" si="2"/>
        <v>0</v>
      </c>
      <c r="J37" s="206"/>
      <c r="K37" s="172"/>
    </row>
    <row r="38" spans="1:11" ht="15">
      <c r="A38" s="213" t="b">
        <v>0</v>
      </c>
      <c r="B38" s="202" t="s">
        <v>132</v>
      </c>
      <c r="C38" s="143">
        <f>IF(A38,BRUT_TOTAL2,0)</f>
        <v>0</v>
      </c>
      <c r="D38" s="203"/>
      <c r="E38" s="211"/>
      <c r="F38" s="143"/>
      <c r="G38" s="208">
        <v>0.0045</v>
      </c>
      <c r="H38" s="144">
        <f>ROUNDDOWN($C38*G38,2)</f>
        <v>0</v>
      </c>
      <c r="I38" s="205">
        <f t="shared" si="2"/>
        <v>0</v>
      </c>
      <c r="J38" s="206">
        <f t="shared" si="1"/>
        <v>0.0045</v>
      </c>
      <c r="K38" s="172"/>
    </row>
    <row r="39" spans="1:11" ht="15">
      <c r="A39" s="172"/>
      <c r="B39" s="202" t="s">
        <v>133</v>
      </c>
      <c r="C39" s="143"/>
      <c r="D39" s="203"/>
      <c r="E39" s="211"/>
      <c r="F39" s="143"/>
      <c r="G39" s="208"/>
      <c r="H39" s="144"/>
      <c r="I39" s="205">
        <f t="shared" si="2"/>
        <v>0</v>
      </c>
      <c r="J39" s="206"/>
      <c r="K39" s="172"/>
    </row>
    <row r="40" spans="1:11" ht="15">
      <c r="A40" s="172"/>
      <c r="B40" s="202" t="s">
        <v>134</v>
      </c>
      <c r="C40" s="143">
        <f>IF(BRUT_TOTAL2&gt;Plafond_de_passage2,Plafond_de_passage2,BRUT_TOTAL2)</f>
        <v>0</v>
      </c>
      <c r="D40" s="203"/>
      <c r="E40" s="211">
        <v>0.024</v>
      </c>
      <c r="F40" s="143">
        <f>ROUNDDOWN($C40*E40,2)</f>
        <v>0</v>
      </c>
      <c r="G40" s="208">
        <v>0.04</v>
      </c>
      <c r="H40" s="144">
        <f t="shared" si="0"/>
        <v>0</v>
      </c>
      <c r="I40" s="205">
        <f t="shared" si="2"/>
        <v>0</v>
      </c>
      <c r="J40" s="206">
        <f>E40+G40</f>
        <v>0.064</v>
      </c>
      <c r="K40" s="172"/>
    </row>
    <row r="41" spans="1:11" ht="15">
      <c r="A41" s="172"/>
      <c r="B41" s="202" t="s">
        <v>135</v>
      </c>
      <c r="C41" s="143">
        <f>IF(IF(BRUT_TOTAL2-Plafond_de_passage2&gt;Plafond_de_passage2*4,Plafond_de_passage2*4-C40,BRUT_TOTAL2-Plafond_de_passage2)&lt;0,0,IF(BRUT_TOTAL2-Plafond_de_passage2&gt;Plafond_de_passage2*4,Plafond_de_passage2*4-C40,BRUT_TOTAL2-Plafond_de_passage2))</f>
        <v>0</v>
      </c>
      <c r="D41" s="203"/>
      <c r="E41" s="211">
        <v>0.024</v>
      </c>
      <c r="F41" s="143">
        <f>ROUNDDOWN($C41*E41,2)</f>
        <v>0</v>
      </c>
      <c r="G41" s="208">
        <v>0.04</v>
      </c>
      <c r="H41" s="144">
        <f t="shared" si="0"/>
        <v>0</v>
      </c>
      <c r="I41" s="205">
        <f t="shared" si="2"/>
        <v>0</v>
      </c>
      <c r="J41" s="206">
        <f>E41+G41</f>
        <v>0.064</v>
      </c>
      <c r="K41" s="172"/>
    </row>
    <row r="42" spans="1:11" ht="15">
      <c r="A42" s="172"/>
      <c r="B42" s="202" t="s">
        <v>136</v>
      </c>
      <c r="C42" s="143">
        <f>C40+C41</f>
        <v>0</v>
      </c>
      <c r="D42" s="203"/>
      <c r="E42" s="211"/>
      <c r="F42" s="143"/>
      <c r="G42" s="208">
        <v>0.003</v>
      </c>
      <c r="H42" s="144">
        <f t="shared" si="0"/>
        <v>0</v>
      </c>
      <c r="I42" s="205">
        <f t="shared" si="2"/>
        <v>0</v>
      </c>
      <c r="J42" s="206">
        <f>E42+G42</f>
        <v>0.003</v>
      </c>
      <c r="K42" s="172"/>
    </row>
    <row r="43" spans="1:11" ht="15">
      <c r="A43" s="172"/>
      <c r="B43" s="163" t="s">
        <v>137</v>
      </c>
      <c r="C43" s="143"/>
      <c r="D43" s="203"/>
      <c r="E43" s="211"/>
      <c r="F43" s="143"/>
      <c r="G43" s="208"/>
      <c r="H43" s="144"/>
      <c r="I43" s="205">
        <f t="shared" si="2"/>
        <v>0</v>
      </c>
      <c r="J43" s="206"/>
      <c r="K43" s="172"/>
    </row>
    <row r="44" spans="1:11" ht="15">
      <c r="A44" s="172"/>
      <c r="B44" s="202" t="s">
        <v>138</v>
      </c>
      <c r="C44" s="143">
        <f>C30</f>
        <v>0</v>
      </c>
      <c r="D44" s="203"/>
      <c r="E44" s="211">
        <v>0.03</v>
      </c>
      <c r="F44" s="143">
        <f aca="true" t="shared" si="3" ref="F44:F54">ROUNDDOWN($C44*E44,2)</f>
        <v>0</v>
      </c>
      <c r="G44" s="208">
        <v>0.045</v>
      </c>
      <c r="H44" s="144">
        <f t="shared" si="0"/>
        <v>0</v>
      </c>
      <c r="I44" s="205">
        <f t="shared" si="2"/>
        <v>0</v>
      </c>
      <c r="J44" s="206">
        <f>E44+G44</f>
        <v>0.075</v>
      </c>
      <c r="K44" s="172"/>
    </row>
    <row r="45" spans="1:11" ht="15">
      <c r="A45" s="172"/>
      <c r="B45" s="202" t="s">
        <v>139</v>
      </c>
      <c r="C45" s="143">
        <f>IF(IF(NOT(C23),IF(BRUT_TOTAL2&gt;Plafond_de_passage2*3,Plafond_de_passage2*3-Plafond_de_passage2,BRUT_TOTAL2-Plafond_de_passage2),IF(BRUT_TOTAL2&gt;Plafond_de_passage2*4,Plafond_de_passage2*4-Plafond_de_passage2,BRUT_TOTAL2-Plafond_de_passage2))&lt;0,0,IF(NOT(C23),IF(BRUT_TOTAL2&gt;Plafond_de_passage2*3,Plafond_de_passage2*3-Plafond_de_passage2,BRUT_TOTAL2-Plafond_de_passage2),IF(BRUT_TOTAL2&gt;Plafond_de_passage2*4,Plafond_de_passage2*4-Plafond_de_passage2,BRUT_TOTAL2-Plafond_de_passage2)))</f>
        <v>0</v>
      </c>
      <c r="D45" s="203"/>
      <c r="E45" s="211">
        <f>IF($C$23,7.7%,8%)</f>
        <v>0.08</v>
      </c>
      <c r="F45" s="143">
        <f t="shared" si="3"/>
        <v>0</v>
      </c>
      <c r="G45" s="211">
        <f>IF($C$23,12.6%,12%)</f>
        <v>0.12</v>
      </c>
      <c r="H45" s="144">
        <f t="shared" si="0"/>
        <v>0</v>
      </c>
      <c r="I45" s="205">
        <f t="shared" si="2"/>
        <v>0</v>
      </c>
      <c r="J45" s="206">
        <f>E45+G45</f>
        <v>0.2</v>
      </c>
      <c r="K45" s="172"/>
    </row>
    <row r="46" spans="1:11" ht="15">
      <c r="A46" s="172"/>
      <c r="B46" s="202" t="s">
        <v>140</v>
      </c>
      <c r="C46" s="143">
        <f>C41</f>
        <v>0</v>
      </c>
      <c r="D46" s="203"/>
      <c r="E46" s="215">
        <f>IF($C$23,0.00024,0)</f>
        <v>0</v>
      </c>
      <c r="F46" s="143">
        <f t="shared" si="3"/>
        <v>0</v>
      </c>
      <c r="G46" s="215">
        <f>IF($C$23,0.00036,0)</f>
        <v>0</v>
      </c>
      <c r="H46" s="144">
        <f t="shared" si="0"/>
        <v>0</v>
      </c>
      <c r="I46" s="205">
        <f t="shared" si="2"/>
        <v>0</v>
      </c>
      <c r="J46" s="206">
        <f>E46+G46</f>
        <v>0</v>
      </c>
      <c r="K46" s="172"/>
    </row>
    <row r="47" spans="1:11" ht="15">
      <c r="A47" s="213" t="b">
        <v>0</v>
      </c>
      <c r="B47" s="202" t="s">
        <v>141</v>
      </c>
      <c r="C47" s="143"/>
      <c r="D47" s="203"/>
      <c r="E47" s="211"/>
      <c r="F47" s="143">
        <f>IF(AND($D$23,$A$47),7.72,0)</f>
        <v>0</v>
      </c>
      <c r="G47" s="208"/>
      <c r="H47" s="144">
        <f>IF(AND($D$23,$A$47),11.59,0)</f>
        <v>0</v>
      </c>
      <c r="I47" s="205">
        <f t="shared" si="2"/>
        <v>0</v>
      </c>
      <c r="J47" s="206"/>
      <c r="K47" s="172"/>
    </row>
    <row r="48" spans="1:11" ht="15">
      <c r="A48" s="172"/>
      <c r="B48" s="202" t="s">
        <v>142</v>
      </c>
      <c r="C48" s="143">
        <f>IF(BRUT_TOTAL2&gt;Plafond_de_passage2*8,Plafond_de_passage2*8,BRUT_TOTAL2)</f>
        <v>0</v>
      </c>
      <c r="D48" s="203"/>
      <c r="E48" s="211">
        <f>IF($C$23,0.0013,0)</f>
        <v>0</v>
      </c>
      <c r="F48" s="143">
        <f t="shared" si="3"/>
        <v>0</v>
      </c>
      <c r="G48" s="208">
        <f>IF($C$23,0.0022,0)</f>
        <v>0</v>
      </c>
      <c r="H48" s="144">
        <f t="shared" si="0"/>
        <v>0</v>
      </c>
      <c r="I48" s="205">
        <f t="shared" si="2"/>
        <v>0</v>
      </c>
      <c r="J48" s="206">
        <f>E48+G48</f>
        <v>0</v>
      </c>
      <c r="K48" s="172"/>
    </row>
    <row r="49" spans="1:11" ht="15">
      <c r="A49" s="172"/>
      <c r="B49" s="202" t="s">
        <v>143</v>
      </c>
      <c r="C49" s="143">
        <f>C30</f>
        <v>0</v>
      </c>
      <c r="D49" s="203"/>
      <c r="E49" s="211">
        <v>0.008</v>
      </c>
      <c r="F49" s="143">
        <f t="shared" si="3"/>
        <v>0</v>
      </c>
      <c r="G49" s="208">
        <v>0.012</v>
      </c>
      <c r="H49" s="144">
        <f t="shared" si="0"/>
        <v>0</v>
      </c>
      <c r="I49" s="205">
        <f t="shared" si="2"/>
        <v>0</v>
      </c>
      <c r="J49" s="206">
        <f>E49+G49</f>
        <v>0.02</v>
      </c>
      <c r="K49" s="172"/>
    </row>
    <row r="50" spans="1:11" ht="15">
      <c r="A50" s="172"/>
      <c r="B50" s="202" t="s">
        <v>144</v>
      </c>
      <c r="C50" s="143">
        <f>C41</f>
        <v>0</v>
      </c>
      <c r="D50" s="203"/>
      <c r="E50" s="211">
        <v>0.009</v>
      </c>
      <c r="F50" s="143">
        <f t="shared" si="3"/>
        <v>0</v>
      </c>
      <c r="G50" s="208">
        <v>0.013</v>
      </c>
      <c r="H50" s="144">
        <f t="shared" si="0"/>
        <v>0</v>
      </c>
      <c r="I50" s="205">
        <f t="shared" si="2"/>
        <v>0</v>
      </c>
      <c r="J50" s="206">
        <f>E50+G50</f>
        <v>0.022</v>
      </c>
      <c r="K50" s="172"/>
    </row>
    <row r="51" spans="1:11" ht="15">
      <c r="A51" s="172"/>
      <c r="B51" s="163" t="s">
        <v>145</v>
      </c>
      <c r="C51" s="143"/>
      <c r="D51" s="203"/>
      <c r="E51" s="211"/>
      <c r="F51" s="143"/>
      <c r="G51" s="208"/>
      <c r="H51" s="144"/>
      <c r="I51" s="205">
        <f t="shared" si="2"/>
        <v>0</v>
      </c>
      <c r="J51" s="206"/>
      <c r="K51" s="172"/>
    </row>
    <row r="52" spans="1:11" ht="15">
      <c r="A52" s="213" t="b">
        <v>0</v>
      </c>
      <c r="B52" s="202" t="s">
        <v>146</v>
      </c>
      <c r="C52" s="143">
        <f>IF(C23,0,Plafond_de_passage2)</f>
        <v>2859</v>
      </c>
      <c r="D52" s="203"/>
      <c r="E52" s="215">
        <v>0.0082</v>
      </c>
      <c r="F52" s="143">
        <f t="shared" si="3"/>
        <v>23.44</v>
      </c>
      <c r="G52" s="215">
        <v>0</v>
      </c>
      <c r="H52" s="144">
        <f t="shared" si="0"/>
        <v>0</v>
      </c>
      <c r="I52" s="205">
        <f t="shared" si="2"/>
        <v>23.44</v>
      </c>
      <c r="J52" s="206">
        <f>E52+G52</f>
        <v>0.0082</v>
      </c>
      <c r="K52" s="172"/>
    </row>
    <row r="53" spans="1:11" ht="15">
      <c r="A53" s="172"/>
      <c r="B53" s="202" t="s">
        <v>147</v>
      </c>
      <c r="C53" s="143">
        <f>IF(C23,C30,0)</f>
        <v>0</v>
      </c>
      <c r="D53" s="203"/>
      <c r="E53" s="215">
        <v>0.00805</v>
      </c>
      <c r="F53" s="143">
        <f t="shared" si="3"/>
        <v>0</v>
      </c>
      <c r="G53" s="215">
        <v>0.00805</v>
      </c>
      <c r="H53" s="144">
        <f t="shared" si="0"/>
        <v>0</v>
      </c>
      <c r="I53" s="205">
        <f t="shared" si="2"/>
        <v>0</v>
      </c>
      <c r="J53" s="206">
        <f>E53+G53</f>
        <v>0.0161</v>
      </c>
      <c r="K53" s="172"/>
    </row>
    <row r="54" spans="1:11" ht="15">
      <c r="A54" s="172"/>
      <c r="B54" s="202" t="s">
        <v>148</v>
      </c>
      <c r="C54" s="143">
        <f>C41</f>
        <v>0</v>
      </c>
      <c r="D54" s="203"/>
      <c r="E54" s="215">
        <v>0.0082</v>
      </c>
      <c r="F54" s="143">
        <f t="shared" si="3"/>
        <v>0</v>
      </c>
      <c r="G54" s="215">
        <v>0.0134</v>
      </c>
      <c r="H54" s="144">
        <f t="shared" si="0"/>
        <v>0</v>
      </c>
      <c r="I54" s="205">
        <f t="shared" si="2"/>
        <v>0</v>
      </c>
      <c r="J54" s="206">
        <f>E54+G54</f>
        <v>0.0216</v>
      </c>
      <c r="K54" s="172"/>
    </row>
    <row r="55" spans="1:11" ht="15">
      <c r="A55" s="172"/>
      <c r="B55" s="216" t="s">
        <v>149</v>
      </c>
      <c r="C55" s="143"/>
      <c r="D55" s="203"/>
      <c r="E55" s="211"/>
      <c r="F55" s="145">
        <v>0</v>
      </c>
      <c r="G55" s="208"/>
      <c r="H55" s="146">
        <v>0</v>
      </c>
      <c r="I55" s="205">
        <f t="shared" si="2"/>
        <v>0</v>
      </c>
      <c r="J55" s="206"/>
      <c r="K55" s="172"/>
    </row>
    <row r="56" spans="1:11" ht="15">
      <c r="A56" s="172"/>
      <c r="B56" s="163" t="s">
        <v>150</v>
      </c>
      <c r="C56" s="147"/>
      <c r="D56" s="217"/>
      <c r="E56" s="218"/>
      <c r="F56" s="147"/>
      <c r="G56" s="208"/>
      <c r="H56" s="144"/>
      <c r="I56" s="205">
        <f t="shared" si="2"/>
        <v>0</v>
      </c>
      <c r="J56" s="206"/>
      <c r="K56" s="172"/>
    </row>
    <row r="57" spans="1:11" ht="15">
      <c r="A57" s="172"/>
      <c r="B57" s="202" t="s">
        <v>151</v>
      </c>
      <c r="C57" s="143">
        <f>(Brut_de_base_hors_TEPA2+C5+H52+H53+H54+H55)*97%</f>
        <v>0</v>
      </c>
      <c r="D57" s="203"/>
      <c r="E57" s="211">
        <v>0.051</v>
      </c>
      <c r="F57" s="143">
        <f>ROUNDDOWN($C57*E57,2)</f>
        <v>0</v>
      </c>
      <c r="G57" s="211"/>
      <c r="H57" s="144"/>
      <c r="I57" s="205">
        <f t="shared" si="2"/>
        <v>0</v>
      </c>
      <c r="J57" s="206">
        <f>E57+G57</f>
        <v>0.051</v>
      </c>
      <c r="K57" s="172"/>
    </row>
    <row r="58" spans="1:11" ht="15">
      <c r="A58" s="172"/>
      <c r="B58" s="202" t="s">
        <v>152</v>
      </c>
      <c r="C58" s="143">
        <f>(brut_TEPA2)*97%</f>
        <v>0</v>
      </c>
      <c r="D58" s="203"/>
      <c r="E58" s="211">
        <v>0.08</v>
      </c>
      <c r="F58" s="143">
        <f>ROUNDDOWN($C58*E58,2)</f>
        <v>0</v>
      </c>
      <c r="G58" s="211"/>
      <c r="H58" s="144"/>
      <c r="I58" s="205">
        <f t="shared" si="2"/>
        <v>0</v>
      </c>
      <c r="J58" s="206">
        <f>E58+G58</f>
        <v>0.08</v>
      </c>
      <c r="K58" s="172"/>
    </row>
    <row r="59" spans="1:11" ht="15">
      <c r="A59" s="172"/>
      <c r="B59" s="202" t="s">
        <v>153</v>
      </c>
      <c r="C59" s="143">
        <f>C11+C12</f>
        <v>0</v>
      </c>
      <c r="D59" s="203"/>
      <c r="E59" s="211"/>
      <c r="F59" s="143"/>
      <c r="G59" s="219">
        <f>IF(C22,0.5,1.5)</f>
        <v>1.5</v>
      </c>
      <c r="H59" s="144">
        <f>-C59*G59</f>
        <v>0</v>
      </c>
      <c r="I59" s="205">
        <f t="shared" si="2"/>
        <v>0</v>
      </c>
      <c r="J59" s="206"/>
      <c r="K59" s="172"/>
    </row>
    <row r="60" spans="1:11" ht="15">
      <c r="A60" s="172"/>
      <c r="B60" s="202" t="s">
        <v>154</v>
      </c>
      <c r="C60" s="143">
        <f>brut_TEPA2</f>
        <v>0</v>
      </c>
      <c r="D60" s="203"/>
      <c r="E60" s="220">
        <f>0.27</f>
        <v>0.27</v>
      </c>
      <c r="F60" s="143">
        <f>-C60*E60</f>
        <v>0</v>
      </c>
      <c r="G60" s="221"/>
      <c r="H60" s="144"/>
      <c r="I60" s="192"/>
      <c r="J60" s="206"/>
      <c r="K60" s="172"/>
    </row>
    <row r="61" spans="1:11" ht="15">
      <c r="A61" s="172"/>
      <c r="B61" s="163" t="s">
        <v>155</v>
      </c>
      <c r="C61" s="143"/>
      <c r="D61" s="203"/>
      <c r="E61" s="222"/>
      <c r="F61" s="143"/>
      <c r="G61" s="222"/>
      <c r="H61" s="144"/>
      <c r="I61" s="192"/>
      <c r="J61" s="206"/>
      <c r="K61" s="172"/>
    </row>
    <row r="62" spans="1:11" ht="15">
      <c r="A62" s="172"/>
      <c r="B62" s="202" t="s">
        <v>156</v>
      </c>
      <c r="C62" s="143">
        <f>BRUT_TOTAL2</f>
        <v>0</v>
      </c>
      <c r="D62" s="203"/>
      <c r="E62" s="217"/>
      <c r="F62" s="147"/>
      <c r="G62" s="211">
        <v>0</v>
      </c>
      <c r="H62" s="144">
        <f>ROUNDDOWN($C62*G62,2)</f>
        <v>0</v>
      </c>
      <c r="I62" s="192"/>
      <c r="J62" s="206">
        <f>E62+G62</f>
        <v>0</v>
      </c>
      <c r="K62" s="172"/>
    </row>
    <row r="63" spans="1:11" ht="15">
      <c r="A63" s="172"/>
      <c r="B63" s="202" t="s">
        <v>157</v>
      </c>
      <c r="C63" s="143">
        <f>BRUT_TOTAL2</f>
        <v>0</v>
      </c>
      <c r="D63" s="203"/>
      <c r="E63" s="217"/>
      <c r="F63" s="147"/>
      <c r="G63" s="211">
        <v>0</v>
      </c>
      <c r="H63" s="144">
        <f>ROUNDDOWN($C63*G63,2)</f>
        <v>0</v>
      </c>
      <c r="I63" s="192"/>
      <c r="J63" s="206">
        <f>E63+G63</f>
        <v>0</v>
      </c>
      <c r="K63" s="172"/>
    </row>
    <row r="64" spans="1:11" ht="15">
      <c r="A64" s="172"/>
      <c r="B64" s="216" t="s">
        <v>158</v>
      </c>
      <c r="C64" s="143">
        <f>BRUT_TOTAL2</f>
        <v>0</v>
      </c>
      <c r="D64" s="203"/>
      <c r="E64" s="217"/>
      <c r="F64" s="147"/>
      <c r="G64" s="211">
        <v>0</v>
      </c>
      <c r="H64" s="144">
        <f>ROUNDDOWN($C64*G64,2)</f>
        <v>0</v>
      </c>
      <c r="I64" s="192"/>
      <c r="J64" s="206">
        <f>E64+G64</f>
        <v>0</v>
      </c>
      <c r="K64" s="172"/>
    </row>
    <row r="65" spans="1:11" ht="15">
      <c r="A65" s="213" t="b">
        <v>1</v>
      </c>
      <c r="B65" s="216" t="s">
        <v>159</v>
      </c>
      <c r="C65" s="143">
        <f>IF(A65,H52+H53+H54+H55,0)</f>
        <v>0</v>
      </c>
      <c r="D65" s="203"/>
      <c r="E65" s="217"/>
      <c r="F65" s="147"/>
      <c r="G65" s="211">
        <v>0.08</v>
      </c>
      <c r="H65" s="144">
        <f>C65*G65</f>
        <v>0</v>
      </c>
      <c r="I65" s="192"/>
      <c r="J65" s="223">
        <f>E65+G65</f>
        <v>0.08</v>
      </c>
      <c r="K65" s="172"/>
    </row>
    <row r="66" spans="1:11" ht="15">
      <c r="A66" s="172"/>
      <c r="B66" s="202"/>
      <c r="C66" s="147"/>
      <c r="D66" s="217"/>
      <c r="E66" s="217"/>
      <c r="F66" s="147"/>
      <c r="G66" s="204"/>
      <c r="H66" s="144"/>
      <c r="I66" s="192"/>
      <c r="J66" s="206"/>
      <c r="K66" s="172"/>
    </row>
    <row r="67" spans="1:11" ht="15">
      <c r="A67" s="172"/>
      <c r="B67" s="164" t="s">
        <v>160</v>
      </c>
      <c r="C67" s="148"/>
      <c r="D67" s="225"/>
      <c r="E67" s="226" t="e">
        <f>(F67/BRUT_TOTAL2)</f>
        <v>#DIV/0!</v>
      </c>
      <c r="F67" s="148">
        <f>SUM(F28:F60)</f>
        <v>23.44</v>
      </c>
      <c r="G67" s="226" t="e">
        <f>(H67/BRUT_TOTAL2)</f>
        <v>#DIV/0!</v>
      </c>
      <c r="H67" s="149" t="e">
        <f>SUM(H28:H66)</f>
        <v>#DIV/0!</v>
      </c>
      <c r="I67" s="227"/>
      <c r="J67" s="206"/>
      <c r="K67" s="172"/>
    </row>
    <row r="68" spans="1:11" ht="15">
      <c r="A68" s="172"/>
      <c r="B68" s="224"/>
      <c r="C68" s="148"/>
      <c r="D68" s="225"/>
      <c r="E68" s="208"/>
      <c r="F68" s="148"/>
      <c r="G68" s="226"/>
      <c r="H68" s="149"/>
      <c r="I68" s="227"/>
      <c r="J68" s="206"/>
      <c r="K68" s="172"/>
    </row>
    <row r="69" spans="1:11" ht="15">
      <c r="A69" s="172"/>
      <c r="B69" s="164" t="s">
        <v>161</v>
      </c>
      <c r="C69" s="148"/>
      <c r="D69" s="225"/>
      <c r="E69" s="208"/>
      <c r="F69" s="148">
        <f>brut_TEPA2</f>
        <v>0</v>
      </c>
      <c r="G69" s="226"/>
      <c r="H69" s="149"/>
      <c r="I69" s="227"/>
      <c r="J69" s="206"/>
      <c r="K69" s="172"/>
    </row>
    <row r="70" spans="1:11" ht="15">
      <c r="A70" s="172"/>
      <c r="B70" s="202"/>
      <c r="C70" s="147"/>
      <c r="D70" s="217"/>
      <c r="E70" s="228"/>
      <c r="F70" s="147"/>
      <c r="G70" s="204"/>
      <c r="H70" s="144"/>
      <c r="I70" s="192"/>
      <c r="J70" s="206"/>
      <c r="K70" s="172"/>
    </row>
    <row r="71" spans="1:11" ht="15">
      <c r="A71" s="172"/>
      <c r="B71" s="164" t="s">
        <v>162</v>
      </c>
      <c r="C71" s="148"/>
      <c r="D71" s="225"/>
      <c r="E71" s="228"/>
      <c r="F71" s="148">
        <f>BRUT_TOTAL2-F67-F69</f>
        <v>-23.44</v>
      </c>
      <c r="G71" s="204"/>
      <c r="H71" s="144"/>
      <c r="I71" s="192"/>
      <c r="J71" s="206"/>
      <c r="K71" s="172"/>
    </row>
    <row r="72" spans="1:11" ht="15">
      <c r="A72" s="172"/>
      <c r="B72" s="202"/>
      <c r="C72" s="147"/>
      <c r="D72" s="217"/>
      <c r="E72" s="228"/>
      <c r="F72" s="147"/>
      <c r="G72" s="204"/>
      <c r="H72" s="144"/>
      <c r="I72" s="192"/>
      <c r="J72" s="206"/>
      <c r="K72" s="172"/>
    </row>
    <row r="73" spans="1:11" ht="15">
      <c r="A73" s="172"/>
      <c r="B73" s="163" t="s">
        <v>163</v>
      </c>
      <c r="C73" s="143"/>
      <c r="D73" s="203"/>
      <c r="E73" s="229"/>
      <c r="F73" s="143"/>
      <c r="G73" s="204"/>
      <c r="H73" s="144"/>
      <c r="I73" s="192"/>
      <c r="J73" s="206"/>
      <c r="K73" s="172"/>
    </row>
    <row r="74" spans="1:11" ht="15">
      <c r="A74" s="172"/>
      <c r="B74" s="202" t="s">
        <v>164</v>
      </c>
      <c r="C74" s="143">
        <f>C57</f>
        <v>0</v>
      </c>
      <c r="D74" s="203"/>
      <c r="E74" s="229">
        <v>0.024</v>
      </c>
      <c r="F74" s="143">
        <f>ROUNDDOWN($C74*E74,2)</f>
        <v>0</v>
      </c>
      <c r="G74" s="204"/>
      <c r="H74" s="144"/>
      <c r="I74" s="192"/>
      <c r="J74" s="206">
        <f>E74+G74</f>
        <v>0.024</v>
      </c>
      <c r="K74" s="172"/>
    </row>
    <row r="75" spans="1:11" ht="15">
      <c r="A75" s="172"/>
      <c r="B75" s="202" t="s">
        <v>165</v>
      </c>
      <c r="C75" s="143">
        <f>C57</f>
        <v>0</v>
      </c>
      <c r="D75" s="203"/>
      <c r="E75" s="229">
        <v>0.005</v>
      </c>
      <c r="F75" s="143">
        <f>ROUNDDOWN($C75*E75,2)</f>
        <v>0</v>
      </c>
      <c r="G75" s="204"/>
      <c r="H75" s="144"/>
      <c r="I75" s="192"/>
      <c r="J75" s="206">
        <f>E75+G75</f>
        <v>0.005</v>
      </c>
      <c r="K75" s="172"/>
    </row>
    <row r="76" spans="1:11" ht="15">
      <c r="A76" s="172"/>
      <c r="B76" s="230" t="s">
        <v>166</v>
      </c>
      <c r="C76" s="150">
        <v>0</v>
      </c>
      <c r="D76" s="231"/>
      <c r="E76" s="232">
        <v>3.5</v>
      </c>
      <c r="F76" s="143">
        <f>C76*E76</f>
        <v>0</v>
      </c>
      <c r="G76" s="204"/>
      <c r="H76" s="144"/>
      <c r="I76" s="192"/>
      <c r="J76" s="206"/>
      <c r="K76" s="172"/>
    </row>
    <row r="77" spans="1:11" ht="15">
      <c r="A77" s="172"/>
      <c r="B77" s="230" t="s">
        <v>167</v>
      </c>
      <c r="C77" s="151"/>
      <c r="D77" s="233"/>
      <c r="E77" s="234"/>
      <c r="F77" s="145">
        <v>0</v>
      </c>
      <c r="G77" s="204"/>
      <c r="H77" s="144"/>
      <c r="I77" s="192"/>
      <c r="J77" s="206"/>
      <c r="K77" s="172"/>
    </row>
    <row r="78" spans="1:11" ht="15">
      <c r="A78" s="172"/>
      <c r="B78" s="230" t="s">
        <v>168</v>
      </c>
      <c r="C78" s="151"/>
      <c r="D78" s="233"/>
      <c r="E78" s="234"/>
      <c r="F78" s="145">
        <v>0</v>
      </c>
      <c r="G78" s="204"/>
      <c r="H78" s="144"/>
      <c r="I78" s="192"/>
      <c r="J78" s="206"/>
      <c r="K78" s="172"/>
    </row>
    <row r="79" spans="1:11" ht="15">
      <c r="A79" s="172"/>
      <c r="B79" s="207" t="s">
        <v>169</v>
      </c>
      <c r="C79" s="151"/>
      <c r="D79" s="233"/>
      <c r="E79" s="234"/>
      <c r="F79" s="143"/>
      <c r="G79" s="204"/>
      <c r="H79" s="144"/>
      <c r="I79" s="192"/>
      <c r="J79" s="206"/>
      <c r="K79" s="172"/>
    </row>
    <row r="80" spans="1:11" ht="15">
      <c r="A80" s="172"/>
      <c r="B80" s="230" t="s">
        <v>170</v>
      </c>
      <c r="C80" s="152">
        <v>0</v>
      </c>
      <c r="D80" s="203"/>
      <c r="E80" s="232">
        <v>4.57</v>
      </c>
      <c r="F80" s="143">
        <f>-C80*E80</f>
        <v>0</v>
      </c>
      <c r="G80" s="204"/>
      <c r="H80" s="144"/>
      <c r="I80" s="192"/>
      <c r="J80" s="206"/>
      <c r="K80" s="172"/>
    </row>
    <row r="81" spans="1:11" ht="15">
      <c r="A81" s="172"/>
      <c r="B81" s="230" t="s">
        <v>168</v>
      </c>
      <c r="C81" s="143"/>
      <c r="D81" s="203"/>
      <c r="E81" s="229"/>
      <c r="F81" s="145">
        <v>0</v>
      </c>
      <c r="G81" s="204"/>
      <c r="H81" s="144"/>
      <c r="I81" s="192"/>
      <c r="J81" s="206"/>
      <c r="K81" s="172"/>
    </row>
    <row r="82" spans="1:11" ht="15">
      <c r="A82" s="172"/>
      <c r="B82" s="235"/>
      <c r="C82" s="143"/>
      <c r="D82" s="203"/>
      <c r="E82" s="229"/>
      <c r="F82" s="153"/>
      <c r="G82" s="204"/>
      <c r="H82" s="144"/>
      <c r="I82" s="192"/>
      <c r="J82" s="206"/>
      <c r="K82" s="172"/>
    </row>
    <row r="83" spans="1:11" ht="15">
      <c r="A83" s="172"/>
      <c r="B83" s="224" t="s">
        <v>161</v>
      </c>
      <c r="C83" s="148"/>
      <c r="D83" s="225"/>
      <c r="E83" s="208"/>
      <c r="F83" s="148">
        <f>-brut_TEPA2</f>
        <v>0</v>
      </c>
      <c r="G83" s="204"/>
      <c r="H83" s="144"/>
      <c r="I83" s="192"/>
      <c r="J83" s="206"/>
      <c r="K83" s="172"/>
    </row>
    <row r="84" spans="1:11" ht="15.75" thickBot="1">
      <c r="A84" s="172"/>
      <c r="B84" s="236"/>
      <c r="C84" s="154"/>
      <c r="D84" s="237"/>
      <c r="E84" s="238"/>
      <c r="F84" s="154"/>
      <c r="G84" s="239"/>
      <c r="H84" s="144"/>
      <c r="I84" s="192"/>
      <c r="J84" s="240"/>
      <c r="K84" s="172"/>
    </row>
    <row r="85" spans="1:11" ht="15.75" thickBot="1">
      <c r="A85" s="172"/>
      <c r="B85" s="351" t="s">
        <v>171</v>
      </c>
      <c r="C85" s="351"/>
      <c r="D85" s="351"/>
      <c r="E85" s="351"/>
      <c r="F85" s="351"/>
      <c r="G85" s="352"/>
      <c r="H85" s="241">
        <f>ROUNDDOWN(BRUT_TOTAL2-F67-SUM(F74:F78)-SUM(F80:F82),2)</f>
        <v>-23.44</v>
      </c>
      <c r="I85" s="242"/>
      <c r="J85" s="175"/>
      <c r="K85" s="172"/>
    </row>
    <row r="86" spans="1:11" ht="15.75" thickBot="1">
      <c r="A86" s="172"/>
      <c r="B86" s="172"/>
      <c r="C86" s="173"/>
      <c r="D86" s="173"/>
      <c r="E86" s="174"/>
      <c r="F86" s="173"/>
      <c r="G86" s="174"/>
      <c r="H86" s="243"/>
      <c r="I86" s="243"/>
      <c r="J86" s="175"/>
      <c r="K86" s="172"/>
    </row>
    <row r="87" spans="1:11" ht="21" thickBot="1">
      <c r="A87" s="172"/>
      <c r="B87" s="172"/>
      <c r="C87" s="173"/>
      <c r="D87" s="173"/>
      <c r="E87" s="174"/>
      <c r="F87" s="244"/>
      <c r="G87" s="245" t="s">
        <v>172</v>
      </c>
      <c r="H87" s="246">
        <f>Net</f>
        <v>-23.44</v>
      </c>
      <c r="I87" s="247"/>
      <c r="J87" s="248"/>
      <c r="K87" s="172"/>
    </row>
    <row r="88" spans="1:11" ht="15">
      <c r="A88" s="172"/>
      <c r="B88" s="172"/>
      <c r="C88" s="173"/>
      <c r="D88" s="173"/>
      <c r="E88" s="174"/>
      <c r="F88" s="173"/>
      <c r="G88" s="174"/>
      <c r="H88" s="173"/>
      <c r="I88" s="173"/>
      <c r="J88" s="175"/>
      <c r="K88" s="172"/>
    </row>
    <row r="89" spans="1:11" ht="15">
      <c r="A89" s="172"/>
      <c r="B89" s="172"/>
      <c r="C89" s="173"/>
      <c r="D89" s="173"/>
      <c r="E89" s="174"/>
      <c r="F89" s="244"/>
      <c r="G89" s="174"/>
      <c r="H89" s="173"/>
      <c r="I89" s="173"/>
      <c r="J89" s="175"/>
      <c r="K89" s="172"/>
    </row>
    <row r="90" spans="1:11" ht="15.75" thickBot="1">
      <c r="A90" s="172"/>
      <c r="B90" s="172"/>
      <c r="C90" s="173"/>
      <c r="D90" s="173"/>
      <c r="E90" s="174"/>
      <c r="F90" s="249"/>
      <c r="G90" s="250"/>
      <c r="H90" s="251"/>
      <c r="I90" s="251"/>
      <c r="J90" s="252"/>
      <c r="K90" s="253"/>
    </row>
    <row r="91" spans="1:11" ht="15.75" thickBot="1">
      <c r="A91" s="172"/>
      <c r="B91" s="172"/>
      <c r="C91" s="173"/>
      <c r="D91" s="173"/>
      <c r="E91" s="174"/>
      <c r="F91" s="254"/>
      <c r="G91" s="255" t="s">
        <v>173</v>
      </c>
      <c r="H91" s="241" t="e">
        <f>H67-F80-F81</f>
        <v>#DIV/0!</v>
      </c>
      <c r="I91" s="242"/>
      <c r="J91" s="256"/>
      <c r="K91" s="253"/>
    </row>
    <row r="92" spans="1:11" ht="15.75" thickBot="1">
      <c r="A92" s="172"/>
      <c r="B92" s="172"/>
      <c r="C92" s="173"/>
      <c r="D92" s="173"/>
      <c r="E92" s="174"/>
      <c r="F92" s="254"/>
      <c r="G92" s="257" t="s">
        <v>174</v>
      </c>
      <c r="H92" s="258" t="e">
        <f>SUM(H28:H55)+H59+H65-F80-F81</f>
        <v>#DIV/0!</v>
      </c>
      <c r="I92" s="259"/>
      <c r="J92" s="260"/>
      <c r="K92" s="261"/>
    </row>
    <row r="93" spans="1:11" ht="15.75" thickBot="1">
      <c r="A93" s="172"/>
      <c r="B93" s="172"/>
      <c r="C93" s="173"/>
      <c r="D93" s="173"/>
      <c r="E93" s="174"/>
      <c r="F93" s="254"/>
      <c r="G93" s="257" t="s">
        <v>175</v>
      </c>
      <c r="H93" s="258">
        <f>SUM(H62:H64)</f>
        <v>0</v>
      </c>
      <c r="I93" s="259"/>
      <c r="J93" s="260"/>
      <c r="K93" s="261"/>
    </row>
    <row r="94" spans="1:11" ht="15.75" thickBot="1">
      <c r="A94" s="172"/>
      <c r="B94" s="172"/>
      <c r="C94" s="173"/>
      <c r="D94" s="173"/>
      <c r="E94" s="174"/>
      <c r="F94" s="254"/>
      <c r="G94" s="257"/>
      <c r="H94" s="259"/>
      <c r="I94" s="259"/>
      <c r="J94" s="260"/>
      <c r="K94" s="261"/>
    </row>
    <row r="95" spans="1:11" ht="15.75" thickBot="1">
      <c r="A95" s="172"/>
      <c r="B95" s="172"/>
      <c r="C95" s="173"/>
      <c r="D95" s="173"/>
      <c r="E95" s="174"/>
      <c r="F95" s="254"/>
      <c r="G95" s="255" t="s">
        <v>176</v>
      </c>
      <c r="H95" s="262" t="e">
        <f>H91/BRUT_TOTAL2</f>
        <v>#DIV/0!</v>
      </c>
      <c r="I95" s="261"/>
      <c r="J95" s="260"/>
      <c r="K95" s="261"/>
    </row>
    <row r="96" spans="1:11" ht="15.75" thickBot="1">
      <c r="A96" s="172"/>
      <c r="B96" s="172"/>
      <c r="C96" s="173"/>
      <c r="D96" s="173"/>
      <c r="E96" s="174"/>
      <c r="F96" s="254"/>
      <c r="G96" s="257"/>
      <c r="H96" s="259"/>
      <c r="I96" s="259"/>
      <c r="J96" s="260"/>
      <c r="K96" s="261"/>
    </row>
    <row r="97" spans="1:11" ht="15.75" thickBot="1">
      <c r="A97" s="172"/>
      <c r="B97" s="172" t="str">
        <f>IF(H87=-23,"-","+")</f>
        <v>+</v>
      </c>
      <c r="C97" s="173"/>
      <c r="D97" s="173"/>
      <c r="E97" s="174"/>
      <c r="F97" s="254"/>
      <c r="G97" s="255" t="s">
        <v>177</v>
      </c>
      <c r="H97" s="241" t="e">
        <f>BRUT_TOTAL2+H67-F80</f>
        <v>#DIV/0!</v>
      </c>
      <c r="I97" s="242"/>
      <c r="J97" s="260"/>
      <c r="K97" s="261"/>
    </row>
    <row r="98" spans="1:11" ht="15">
      <c r="A98" s="172"/>
      <c r="B98" s="172"/>
      <c r="C98" s="173"/>
      <c r="D98" s="173"/>
      <c r="E98" s="174"/>
      <c r="F98" s="254"/>
      <c r="G98" s="257"/>
      <c r="H98" s="259"/>
      <c r="I98" s="259"/>
      <c r="J98" s="260"/>
      <c r="K98" s="261"/>
    </row>
    <row r="99" spans="1:11" ht="15.75" thickBot="1">
      <c r="A99" s="172"/>
      <c r="B99" s="196"/>
      <c r="C99" s="173"/>
      <c r="D99" s="173"/>
      <c r="E99" s="174"/>
      <c r="F99" s="254"/>
      <c r="G99" s="141"/>
      <c r="H99" s="140"/>
      <c r="I99" s="140"/>
      <c r="J99" s="256"/>
      <c r="K99" s="253"/>
    </row>
    <row r="100" spans="1:11" ht="15.75" thickBot="1">
      <c r="A100" s="172"/>
      <c r="B100" s="172"/>
      <c r="C100" s="173"/>
      <c r="D100" s="173"/>
      <c r="E100" s="174"/>
      <c r="F100" s="254"/>
      <c r="G100" s="255" t="s">
        <v>178</v>
      </c>
      <c r="H100" s="241">
        <f>BRUT_TOTAL2-Net</f>
        <v>23.44</v>
      </c>
      <c r="I100" s="242"/>
      <c r="J100" s="263"/>
      <c r="K100" s="253"/>
    </row>
    <row r="101" spans="1:11" ht="15.75" thickBot="1">
      <c r="A101" s="172"/>
      <c r="B101" s="172"/>
      <c r="C101" s="173"/>
      <c r="D101" s="173"/>
      <c r="E101" s="174"/>
      <c r="F101" s="254"/>
      <c r="G101" s="255"/>
      <c r="H101" s="242"/>
      <c r="I101" s="242"/>
      <c r="J101" s="260"/>
      <c r="K101" s="261"/>
    </row>
    <row r="102" spans="1:11" ht="15.75" thickBot="1">
      <c r="A102" s="172"/>
      <c r="B102" s="172"/>
      <c r="C102" s="173"/>
      <c r="D102" s="173"/>
      <c r="E102" s="174"/>
      <c r="F102" s="254"/>
      <c r="G102" s="255" t="s">
        <v>179</v>
      </c>
      <c r="H102" s="262" t="e">
        <f>H100/BRUT_TOTAL2</f>
        <v>#DIV/0!</v>
      </c>
      <c r="I102" s="261"/>
      <c r="J102" s="260"/>
      <c r="K102" s="261"/>
    </row>
    <row r="103" spans="1:11" ht="15.75" thickBot="1">
      <c r="A103" s="172"/>
      <c r="B103" s="172"/>
      <c r="C103" s="173"/>
      <c r="D103" s="173"/>
      <c r="E103" s="174"/>
      <c r="F103" s="254"/>
      <c r="G103" s="141"/>
      <c r="H103" s="140"/>
      <c r="I103" s="140"/>
      <c r="J103" s="256"/>
      <c r="K103" s="253"/>
    </row>
    <row r="104" spans="1:11" ht="15.75" thickBot="1">
      <c r="A104" s="172"/>
      <c r="B104" s="172"/>
      <c r="C104" s="173"/>
      <c r="D104" s="173"/>
      <c r="E104" s="174"/>
      <c r="F104" s="254"/>
      <c r="G104" s="255" t="s">
        <v>180</v>
      </c>
      <c r="H104" s="241" t="e">
        <f>H91+H100</f>
        <v>#DIV/0!</v>
      </c>
      <c r="I104" s="242"/>
      <c r="J104" s="256"/>
      <c r="K104" s="253"/>
    </row>
    <row r="105" spans="1:11" ht="15">
      <c r="A105" s="172"/>
      <c r="B105" s="172"/>
      <c r="C105" s="173"/>
      <c r="D105" s="173"/>
      <c r="E105" s="174"/>
      <c r="F105" s="264"/>
      <c r="G105" s="265"/>
      <c r="H105" s="266"/>
      <c r="I105" s="266"/>
      <c r="J105" s="267"/>
      <c r="K105" s="253"/>
    </row>
    <row r="106" spans="1:11" ht="15">
      <c r="A106" s="172"/>
      <c r="B106" s="172"/>
      <c r="C106" s="173"/>
      <c r="D106" s="173"/>
      <c r="E106" s="174"/>
      <c r="F106" s="173"/>
      <c r="G106" s="174"/>
      <c r="H106" s="173"/>
      <c r="I106" s="173"/>
      <c r="J106" s="175"/>
      <c r="K106" s="172"/>
    </row>
    <row r="107" spans="1:11" ht="15">
      <c r="A107" s="172"/>
      <c r="B107" s="172"/>
      <c r="C107" s="173"/>
      <c r="D107" s="173"/>
      <c r="E107" s="174"/>
      <c r="F107" s="173"/>
      <c r="G107" s="169" t="s">
        <v>181</v>
      </c>
      <c r="H107" s="169" t="s">
        <v>182</v>
      </c>
      <c r="I107" s="173"/>
      <c r="J107" s="175"/>
      <c r="K107" s="172"/>
    </row>
    <row r="108" spans="1:11" ht="15">
      <c r="A108" s="172"/>
      <c r="B108" s="172"/>
      <c r="C108" s="173"/>
      <c r="D108" s="173"/>
      <c r="E108" s="174"/>
      <c r="F108" s="173"/>
      <c r="G108" s="268" t="e">
        <f>IF(0.281/0.6*((1.6*(C20*151.67*(C9/C10))/BRUT_TOTAL2)-1)&gt;0,IF(0.281/0.6*((1.6*(C20*151.67*(C9/C10))/BRUT_TOTAL2)-1)&lt;0.281,0.281/0.6*((1.6*(C20*151.67*(C9/C10))/BRUT_TOTAL2)-1),0.281),0)</f>
        <v>#DIV/0!</v>
      </c>
      <c r="H108" s="268" t="e">
        <f>IF(0.26/0.6*((1.6*(C20*151.67*(C9/C10))/BRUT_TOTAL2)-1)&gt;0,IF(0.26/0.6*((1.6*(C20*151.67*(C9/C10))/BRUT_TOTAL2)-1)&lt;0.26,0.26/0.6*((1.6*(C20*151.67*(C9/C10))/BRUT_TOTAL2)-1),0.26),0)</f>
        <v>#DIV/0!</v>
      </c>
      <c r="I108" s="173"/>
      <c r="J108" s="175"/>
      <c r="K108" s="172"/>
    </row>
    <row r="109" spans="1:11" ht="15">
      <c r="A109" s="172"/>
      <c r="B109" s="172"/>
      <c r="C109" s="173"/>
      <c r="D109" s="173"/>
      <c r="E109" s="174"/>
      <c r="F109" s="173"/>
      <c r="G109" s="174"/>
      <c r="H109" s="173"/>
      <c r="I109" s="173"/>
      <c r="J109" s="175"/>
      <c r="K109" s="172"/>
    </row>
    <row r="110" spans="1:11" ht="15">
      <c r="A110" s="172"/>
      <c r="B110" s="172"/>
      <c r="C110" s="173"/>
      <c r="D110" s="173"/>
      <c r="E110" s="174"/>
      <c r="F110" s="173"/>
      <c r="G110" s="174"/>
      <c r="H110" s="173"/>
      <c r="I110" s="173"/>
      <c r="J110" s="175"/>
      <c r="K110" s="172"/>
    </row>
    <row r="111" spans="1:11" ht="15">
      <c r="A111" s="172"/>
      <c r="B111" s="172"/>
      <c r="C111" s="173"/>
      <c r="D111" s="173"/>
      <c r="E111" s="174"/>
      <c r="F111" s="173"/>
      <c r="G111" s="174"/>
      <c r="H111" s="173"/>
      <c r="I111" s="173"/>
      <c r="J111" s="175"/>
      <c r="K111" s="172"/>
    </row>
    <row r="112" spans="1:11" ht="15">
      <c r="A112" s="172"/>
      <c r="B112" s="172"/>
      <c r="C112" s="173"/>
      <c r="D112" s="173"/>
      <c r="E112" s="174"/>
      <c r="F112" s="173"/>
      <c r="G112" s="174"/>
      <c r="H112" s="173"/>
      <c r="I112" s="173"/>
      <c r="J112" s="175"/>
      <c r="K112" s="172"/>
    </row>
    <row r="113" spans="1:11" ht="15">
      <c r="A113" s="172"/>
      <c r="B113" s="172"/>
      <c r="C113" s="173"/>
      <c r="D113" s="173"/>
      <c r="E113" s="174"/>
      <c r="F113" s="173"/>
      <c r="G113" s="174"/>
      <c r="H113" s="173"/>
      <c r="I113" s="173"/>
      <c r="J113" s="175"/>
      <c r="K113" s="172"/>
    </row>
    <row r="114" spans="1:11" ht="15">
      <c r="A114" s="172"/>
      <c r="B114" s="172"/>
      <c r="C114" s="173"/>
      <c r="D114" s="173"/>
      <c r="E114" s="174"/>
      <c r="F114" s="173"/>
      <c r="G114" s="174"/>
      <c r="H114" s="173"/>
      <c r="I114" s="173"/>
      <c r="J114" s="175"/>
      <c r="K114" s="172"/>
    </row>
    <row r="115" spans="1:11" ht="15">
      <c r="A115" s="172"/>
      <c r="B115" s="172"/>
      <c r="C115" s="173"/>
      <c r="D115" s="173"/>
      <c r="E115" s="174"/>
      <c r="F115" s="173"/>
      <c r="G115" s="174"/>
      <c r="H115" s="173"/>
      <c r="I115" s="173"/>
      <c r="J115" s="175"/>
      <c r="K115" s="172"/>
    </row>
    <row r="116" spans="1:11" ht="15">
      <c r="A116" s="172"/>
      <c r="B116" s="172"/>
      <c r="C116" s="173"/>
      <c r="D116" s="173"/>
      <c r="E116" s="174"/>
      <c r="F116" s="173"/>
      <c r="G116" s="174"/>
      <c r="H116" s="173"/>
      <c r="I116" s="173"/>
      <c r="J116" s="175"/>
      <c r="K116" s="172"/>
    </row>
    <row r="117" spans="1:11" ht="15">
      <c r="A117" s="172"/>
      <c r="B117" s="172"/>
      <c r="C117" s="173"/>
      <c r="D117" s="173"/>
      <c r="E117" s="174"/>
      <c r="F117" s="173"/>
      <c r="G117" s="174"/>
      <c r="H117" s="173"/>
      <c r="I117" s="173"/>
      <c r="J117" s="175"/>
      <c r="K117" s="172"/>
    </row>
    <row r="118" spans="1:11" ht="15">
      <c r="A118" s="172"/>
      <c r="B118" s="172"/>
      <c r="C118" s="173"/>
      <c r="D118" s="173"/>
      <c r="E118" s="174"/>
      <c r="F118" s="173"/>
      <c r="G118" s="174"/>
      <c r="H118" s="173"/>
      <c r="I118" s="173"/>
      <c r="J118" s="175"/>
      <c r="K118" s="172"/>
    </row>
    <row r="119" spans="1:11" ht="15">
      <c r="A119" s="172"/>
      <c r="B119" s="172"/>
      <c r="C119" s="173"/>
      <c r="D119" s="173"/>
      <c r="E119" s="174"/>
      <c r="F119" s="173"/>
      <c r="G119" s="174"/>
      <c r="H119" s="173"/>
      <c r="I119" s="173"/>
      <c r="J119" s="175"/>
      <c r="K119" s="172"/>
    </row>
    <row r="120" spans="1:11" ht="15">
      <c r="A120" s="172"/>
      <c r="B120" s="172"/>
      <c r="C120" s="173"/>
      <c r="D120" s="173"/>
      <c r="E120" s="174"/>
      <c r="F120" s="173"/>
      <c r="G120" s="174"/>
      <c r="H120" s="173"/>
      <c r="I120" s="173"/>
      <c r="J120" s="175"/>
      <c r="K120" s="172"/>
    </row>
    <row r="121" spans="1:11" ht="15">
      <c r="A121" s="172"/>
      <c r="B121" s="172"/>
      <c r="C121" s="173"/>
      <c r="D121" s="173"/>
      <c r="E121" s="174"/>
      <c r="F121" s="173"/>
      <c r="G121" s="174"/>
      <c r="H121" s="173"/>
      <c r="I121" s="173"/>
      <c r="J121" s="175"/>
      <c r="K121" s="172"/>
    </row>
    <row r="122" spans="1:11" ht="15">
      <c r="A122" s="172"/>
      <c r="B122" s="172"/>
      <c r="C122" s="173"/>
      <c r="D122" s="173"/>
      <c r="E122" s="174"/>
      <c r="F122" s="173"/>
      <c r="G122" s="174"/>
      <c r="H122" s="173"/>
      <c r="I122" s="173"/>
      <c r="J122" s="175"/>
      <c r="K122" s="172"/>
    </row>
    <row r="123" spans="1:11" ht="15">
      <c r="A123" s="172"/>
      <c r="B123" s="172"/>
      <c r="C123" s="173"/>
      <c r="D123" s="173"/>
      <c r="E123" s="174"/>
      <c r="F123" s="173"/>
      <c r="G123" s="174"/>
      <c r="H123" s="173"/>
      <c r="I123" s="173"/>
      <c r="J123" s="175"/>
      <c r="K123" s="172"/>
    </row>
    <row r="124" spans="1:11" ht="15">
      <c r="A124" s="172"/>
      <c r="B124" s="172"/>
      <c r="C124" s="173"/>
      <c r="D124" s="173"/>
      <c r="E124" s="174"/>
      <c r="F124" s="173"/>
      <c r="G124" s="174"/>
      <c r="H124" s="173"/>
      <c r="I124" s="173"/>
      <c r="J124" s="175"/>
      <c r="K124" s="172"/>
    </row>
    <row r="125" spans="1:11" ht="15">
      <c r="A125" s="172"/>
      <c r="B125" s="172"/>
      <c r="C125" s="173"/>
      <c r="D125" s="173"/>
      <c r="E125" s="174"/>
      <c r="F125" s="173"/>
      <c r="G125" s="174"/>
      <c r="H125" s="173"/>
      <c r="I125" s="173"/>
      <c r="J125" s="175"/>
      <c r="K125" s="172"/>
    </row>
    <row r="126" spans="1:11" ht="15">
      <c r="A126" s="172"/>
      <c r="B126" s="172"/>
      <c r="C126" s="173"/>
      <c r="D126" s="173"/>
      <c r="E126" s="174"/>
      <c r="F126" s="173"/>
      <c r="G126" s="174"/>
      <c r="H126" s="173"/>
      <c r="I126" s="173"/>
      <c r="J126" s="175"/>
      <c r="K126" s="172"/>
    </row>
    <row r="127" spans="1:11" ht="15">
      <c r="A127" s="172"/>
      <c r="B127" s="172"/>
      <c r="C127" s="173"/>
      <c r="D127" s="173"/>
      <c r="E127" s="174"/>
      <c r="F127" s="173"/>
      <c r="G127" s="174"/>
      <c r="H127" s="173"/>
      <c r="I127" s="173"/>
      <c r="J127" s="175"/>
      <c r="K127" s="172"/>
    </row>
    <row r="128" spans="1:11" ht="15">
      <c r="A128" s="172"/>
      <c r="B128" s="172"/>
      <c r="C128" s="173"/>
      <c r="D128" s="173"/>
      <c r="E128" s="174"/>
      <c r="F128" s="173"/>
      <c r="G128" s="174"/>
      <c r="H128" s="173"/>
      <c r="I128" s="173"/>
      <c r="J128" s="175"/>
      <c r="K128" s="172"/>
    </row>
    <row r="129" spans="1:11" ht="15">
      <c r="A129" s="172"/>
      <c r="B129" s="172"/>
      <c r="C129" s="173"/>
      <c r="D129" s="173"/>
      <c r="E129" s="174"/>
      <c r="F129" s="173"/>
      <c r="G129" s="174"/>
      <c r="H129" s="173"/>
      <c r="I129" s="173"/>
      <c r="J129" s="175"/>
      <c r="K129" s="172"/>
    </row>
    <row r="130" spans="1:11" ht="15">
      <c r="A130" s="172"/>
      <c r="B130" s="172"/>
      <c r="C130" s="173"/>
      <c r="D130" s="173"/>
      <c r="E130" s="174"/>
      <c r="F130" s="173"/>
      <c r="G130" s="174"/>
      <c r="H130" s="173"/>
      <c r="I130" s="173"/>
      <c r="J130" s="175"/>
      <c r="K130" s="172"/>
    </row>
    <row r="131" spans="1:11" ht="15">
      <c r="A131" s="172"/>
      <c r="B131" s="172"/>
      <c r="C131" s="173"/>
      <c r="D131" s="173"/>
      <c r="E131" s="174"/>
      <c r="F131" s="173"/>
      <c r="G131" s="174"/>
      <c r="H131" s="173"/>
      <c r="I131" s="173"/>
      <c r="J131" s="175"/>
      <c r="K131" s="172"/>
    </row>
    <row r="132" spans="1:11" ht="15">
      <c r="A132" s="172"/>
      <c r="B132" s="172"/>
      <c r="C132" s="173"/>
      <c r="D132" s="173"/>
      <c r="E132" s="174"/>
      <c r="F132" s="173"/>
      <c r="G132" s="174"/>
      <c r="H132" s="173"/>
      <c r="I132" s="173"/>
      <c r="J132" s="175"/>
      <c r="K132" s="172"/>
    </row>
    <row r="133" spans="1:11" ht="15">
      <c r="A133" s="172"/>
      <c r="B133" s="173">
        <f>ROUNDDOWN(BRUT_TOTAL2-F67-SUM(F74:F78)-SUM(F80:F82),2)</f>
        <v>-23.44</v>
      </c>
      <c r="C133" s="173"/>
      <c r="D133" s="173"/>
      <c r="E133" s="174"/>
      <c r="F133" s="173"/>
      <c r="G133" s="174"/>
      <c r="H133" s="173"/>
      <c r="I133" s="173"/>
      <c r="J133" s="175"/>
      <c r="K133" s="172"/>
    </row>
    <row r="134" spans="1:11" ht="15">
      <c r="A134" s="172"/>
      <c r="B134" s="172"/>
      <c r="C134" s="173"/>
      <c r="D134" s="173"/>
      <c r="E134" s="174"/>
      <c r="F134" s="173"/>
      <c r="G134" s="174"/>
      <c r="H134" s="173"/>
      <c r="I134" s="173"/>
      <c r="J134" s="175"/>
      <c r="K134" s="172"/>
    </row>
    <row r="135" spans="1:11" ht="15">
      <c r="A135" s="172"/>
      <c r="B135" s="172"/>
      <c r="C135" s="173"/>
      <c r="D135" s="173"/>
      <c r="E135" s="174"/>
      <c r="F135" s="173"/>
      <c r="G135" s="174"/>
      <c r="H135" s="173"/>
      <c r="I135" s="173"/>
      <c r="J135" s="175"/>
      <c r="K135" s="172"/>
    </row>
    <row r="136" spans="1:11" ht="15">
      <c r="A136" s="172"/>
      <c r="B136" s="172"/>
      <c r="C136" s="173"/>
      <c r="D136" s="173"/>
      <c r="E136" s="174"/>
      <c r="F136" s="173"/>
      <c r="G136" s="174"/>
      <c r="H136" s="173"/>
      <c r="I136" s="173"/>
      <c r="J136" s="175"/>
      <c r="K136" s="172"/>
    </row>
    <row r="137" spans="1:11" ht="15">
      <c r="A137" s="172"/>
      <c r="B137" s="172"/>
      <c r="C137" s="173"/>
      <c r="D137" s="173"/>
      <c r="E137" s="174"/>
      <c r="F137" s="173"/>
      <c r="G137" s="174"/>
      <c r="H137" s="173"/>
      <c r="I137" s="173"/>
      <c r="J137" s="175"/>
      <c r="K137" s="172"/>
    </row>
    <row r="138" spans="1:11" ht="15">
      <c r="A138" s="172"/>
      <c r="B138" s="172"/>
      <c r="C138" s="173"/>
      <c r="D138" s="173"/>
      <c r="E138" s="174"/>
      <c r="F138" s="173"/>
      <c r="G138" s="174"/>
      <c r="H138" s="173"/>
      <c r="I138" s="173"/>
      <c r="J138" s="175"/>
      <c r="K138" s="172"/>
    </row>
    <row r="139" spans="1:11" ht="15">
      <c r="A139" s="172"/>
      <c r="B139" s="172"/>
      <c r="C139" s="173"/>
      <c r="D139" s="173"/>
      <c r="E139" s="174"/>
      <c r="F139" s="173"/>
      <c r="G139" s="174"/>
      <c r="H139" s="173"/>
      <c r="I139" s="173"/>
      <c r="J139" s="175"/>
      <c r="K139" s="172"/>
    </row>
    <row r="140" spans="1:11" ht="15">
      <c r="A140" s="172"/>
      <c r="B140" s="172"/>
      <c r="C140" s="173"/>
      <c r="D140" s="173"/>
      <c r="E140" s="174"/>
      <c r="F140" s="173"/>
      <c r="G140" s="174"/>
      <c r="H140" s="173"/>
      <c r="I140" s="173"/>
      <c r="J140" s="175"/>
      <c r="K140" s="172"/>
    </row>
    <row r="141" spans="1:11" ht="15">
      <c r="A141" s="172"/>
      <c r="B141" s="172"/>
      <c r="C141" s="173"/>
      <c r="D141" s="173"/>
      <c r="E141" s="174"/>
      <c r="F141" s="173"/>
      <c r="G141" s="174"/>
      <c r="H141" s="173"/>
      <c r="I141" s="173"/>
      <c r="J141" s="175"/>
      <c r="K141" s="172"/>
    </row>
    <row r="142" spans="1:11" ht="15">
      <c r="A142" s="172"/>
      <c r="B142" s="172"/>
      <c r="C142" s="173"/>
      <c r="D142" s="173"/>
      <c r="E142" s="174"/>
      <c r="F142" s="173"/>
      <c r="G142" s="174"/>
      <c r="H142" s="173"/>
      <c r="I142" s="173"/>
      <c r="J142" s="175"/>
      <c r="K142" s="172"/>
    </row>
    <row r="143" spans="1:11" ht="15">
      <c r="A143" s="172"/>
      <c r="B143" s="172"/>
      <c r="C143" s="173"/>
      <c r="D143" s="173"/>
      <c r="E143" s="174"/>
      <c r="F143" s="173"/>
      <c r="G143" s="174"/>
      <c r="H143" s="173"/>
      <c r="I143" s="173"/>
      <c r="J143" s="175"/>
      <c r="K143" s="172"/>
    </row>
    <row r="144" spans="1:11" ht="15">
      <c r="A144" s="172"/>
      <c r="B144" s="172"/>
      <c r="C144" s="173"/>
      <c r="D144" s="173"/>
      <c r="E144" s="174"/>
      <c r="F144" s="173"/>
      <c r="G144" s="174"/>
      <c r="H144" s="173"/>
      <c r="I144" s="173"/>
      <c r="J144" s="175"/>
      <c r="K144" s="172"/>
    </row>
    <row r="145" spans="1:11" ht="15">
      <c r="A145" s="172"/>
      <c r="B145" s="172"/>
      <c r="C145" s="173"/>
      <c r="D145" s="173"/>
      <c r="E145" s="174"/>
      <c r="F145" s="173"/>
      <c r="G145" s="174"/>
      <c r="H145" s="173"/>
      <c r="I145" s="173"/>
      <c r="J145" s="175"/>
      <c r="K145" s="172"/>
    </row>
    <row r="146" spans="1:11" ht="15">
      <c r="A146" s="172"/>
      <c r="B146" s="172"/>
      <c r="C146" s="173"/>
      <c r="D146" s="173"/>
      <c r="E146" s="174"/>
      <c r="F146" s="173"/>
      <c r="G146" s="174"/>
      <c r="H146" s="173"/>
      <c r="I146" s="173"/>
      <c r="J146" s="175"/>
      <c r="K146" s="172"/>
    </row>
    <row r="147" spans="1:11" ht="15">
      <c r="A147" s="172"/>
      <c r="B147" s="172"/>
      <c r="C147" s="173"/>
      <c r="D147" s="173"/>
      <c r="E147" s="174"/>
      <c r="F147" s="173"/>
      <c r="G147" s="174"/>
      <c r="H147" s="173"/>
      <c r="I147" s="173"/>
      <c r="J147" s="175"/>
      <c r="K147" s="172"/>
    </row>
    <row r="148" spans="1:11" ht="15">
      <c r="A148" s="172"/>
      <c r="B148" s="172"/>
      <c r="C148" s="173"/>
      <c r="D148" s="173"/>
      <c r="E148" s="174"/>
      <c r="F148" s="173"/>
      <c r="G148" s="174"/>
      <c r="H148" s="173"/>
      <c r="I148" s="173"/>
      <c r="J148" s="175"/>
      <c r="K148" s="172"/>
    </row>
    <row r="149" spans="1:11" ht="15">
      <c r="A149" s="172"/>
      <c r="B149" s="172"/>
      <c r="C149" s="173"/>
      <c r="D149" s="173"/>
      <c r="E149" s="174"/>
      <c r="F149" s="173"/>
      <c r="G149" s="174"/>
      <c r="H149" s="173"/>
      <c r="I149" s="173"/>
      <c r="J149" s="175"/>
      <c r="K149" s="172"/>
    </row>
    <row r="150" spans="1:11" ht="15">
      <c r="A150" s="172"/>
      <c r="B150" s="172"/>
      <c r="C150" s="173"/>
      <c r="D150" s="173"/>
      <c r="E150" s="174"/>
      <c r="F150" s="173"/>
      <c r="G150" s="174"/>
      <c r="H150" s="173"/>
      <c r="I150" s="173"/>
      <c r="J150" s="175"/>
      <c r="K150" s="172"/>
    </row>
    <row r="151" spans="1:11" ht="15">
      <c r="A151" s="172"/>
      <c r="B151" s="172"/>
      <c r="C151" s="173"/>
      <c r="D151" s="173"/>
      <c r="E151" s="174"/>
      <c r="F151" s="173"/>
      <c r="G151" s="174"/>
      <c r="H151" s="173"/>
      <c r="I151" s="173"/>
      <c r="J151" s="175"/>
      <c r="K151" s="172"/>
    </row>
    <row r="152" spans="1:11" ht="15">
      <c r="A152" s="172"/>
      <c r="B152" s="172"/>
      <c r="C152" s="173"/>
      <c r="D152" s="173"/>
      <c r="E152" s="174"/>
      <c r="F152" s="173"/>
      <c r="G152" s="174"/>
      <c r="H152" s="173"/>
      <c r="I152" s="173"/>
      <c r="J152" s="175"/>
      <c r="K152" s="172"/>
    </row>
    <row r="153" spans="1:11" ht="15">
      <c r="A153" s="172"/>
      <c r="B153" s="172"/>
      <c r="C153" s="173"/>
      <c r="D153" s="173"/>
      <c r="E153" s="174"/>
      <c r="F153" s="173"/>
      <c r="G153" s="174"/>
      <c r="H153" s="173"/>
      <c r="I153" s="173"/>
      <c r="J153" s="175"/>
      <c r="K153" s="172"/>
    </row>
    <row r="154" spans="1:11" ht="15">
      <c r="A154" s="172"/>
      <c r="B154" s="172"/>
      <c r="C154" s="173"/>
      <c r="D154" s="173"/>
      <c r="E154" s="174"/>
      <c r="F154" s="173"/>
      <c r="G154" s="174"/>
      <c r="H154" s="173"/>
      <c r="I154" s="173"/>
      <c r="J154" s="175"/>
      <c r="K154" s="172"/>
    </row>
    <row r="155" spans="1:11" ht="15">
      <c r="A155" s="172"/>
      <c r="B155" s="172"/>
      <c r="C155" s="173"/>
      <c r="D155" s="173"/>
      <c r="E155" s="174"/>
      <c r="F155" s="173"/>
      <c r="G155" s="174"/>
      <c r="H155" s="173"/>
      <c r="I155" s="173"/>
      <c r="J155" s="175"/>
      <c r="K155" s="172"/>
    </row>
    <row r="156" spans="1:11" ht="15">
      <c r="A156" s="172"/>
      <c r="B156" s="172"/>
      <c r="C156" s="173"/>
      <c r="D156" s="173"/>
      <c r="E156" s="174"/>
      <c r="F156" s="173"/>
      <c r="G156" s="174"/>
      <c r="H156" s="173"/>
      <c r="I156" s="173"/>
      <c r="J156" s="175"/>
      <c r="K156" s="172"/>
    </row>
    <row r="157" spans="1:11" ht="15">
      <c r="A157" s="172"/>
      <c r="B157" s="172"/>
      <c r="C157" s="173"/>
      <c r="D157" s="173"/>
      <c r="E157" s="174"/>
      <c r="F157" s="173"/>
      <c r="G157" s="174"/>
      <c r="H157" s="173"/>
      <c r="I157" s="173"/>
      <c r="J157" s="175"/>
      <c r="K157" s="172"/>
    </row>
    <row r="158" spans="1:11" ht="15">
      <c r="A158" s="172"/>
      <c r="B158" s="172"/>
      <c r="C158" s="173"/>
      <c r="D158" s="173"/>
      <c r="E158" s="174"/>
      <c r="F158" s="173"/>
      <c r="G158" s="174"/>
      <c r="H158" s="173"/>
      <c r="I158" s="173"/>
      <c r="J158" s="175"/>
      <c r="K158" s="172"/>
    </row>
    <row r="159" spans="1:11" ht="15">
      <c r="A159" s="172"/>
      <c r="B159" s="172"/>
      <c r="C159" s="173"/>
      <c r="D159" s="173"/>
      <c r="E159" s="174"/>
      <c r="F159" s="173"/>
      <c r="G159" s="174"/>
      <c r="H159" s="173"/>
      <c r="I159" s="173"/>
      <c r="J159" s="175"/>
      <c r="K159" s="172"/>
    </row>
    <row r="160" spans="1:11" ht="15">
      <c r="A160" s="172"/>
      <c r="B160" s="172"/>
      <c r="C160" s="173"/>
      <c r="D160" s="173"/>
      <c r="E160" s="174"/>
      <c r="F160" s="173"/>
      <c r="G160" s="174"/>
      <c r="H160" s="173"/>
      <c r="I160" s="173"/>
      <c r="J160" s="175"/>
      <c r="K160" s="172"/>
    </row>
    <row r="161" spans="1:11" ht="15">
      <c r="A161" s="172"/>
      <c r="B161" s="172"/>
      <c r="C161" s="173"/>
      <c r="D161" s="173"/>
      <c r="E161" s="174"/>
      <c r="F161" s="173"/>
      <c r="G161" s="174"/>
      <c r="H161" s="173"/>
      <c r="I161" s="173"/>
      <c r="J161" s="175"/>
      <c r="K161" s="172"/>
    </row>
    <row r="162" spans="1:11" ht="15">
      <c r="A162" s="172"/>
      <c r="B162" s="172"/>
      <c r="C162" s="173"/>
      <c r="D162" s="173"/>
      <c r="E162" s="174"/>
      <c r="F162" s="173"/>
      <c r="G162" s="174"/>
      <c r="H162" s="173"/>
      <c r="I162" s="173"/>
      <c r="J162" s="175"/>
      <c r="K162" s="172"/>
    </row>
    <row r="163" spans="1:11" ht="15">
      <c r="A163" s="172"/>
      <c r="B163" s="172"/>
      <c r="C163" s="173"/>
      <c r="D163" s="173"/>
      <c r="E163" s="174"/>
      <c r="F163" s="173"/>
      <c r="G163" s="174"/>
      <c r="H163" s="173"/>
      <c r="I163" s="173"/>
      <c r="J163" s="175"/>
      <c r="K163" s="172"/>
    </row>
    <row r="164" spans="1:11" ht="15">
      <c r="A164" s="172"/>
      <c r="B164" s="172"/>
      <c r="C164" s="173"/>
      <c r="D164" s="173"/>
      <c r="E164" s="174"/>
      <c r="F164" s="173"/>
      <c r="G164" s="174"/>
      <c r="H164" s="173"/>
      <c r="I164" s="173"/>
      <c r="J164" s="175"/>
      <c r="K164" s="172"/>
    </row>
    <row r="165" spans="1:11" ht="15">
      <c r="A165" s="172"/>
      <c r="B165" s="172"/>
      <c r="C165" s="173"/>
      <c r="D165" s="173"/>
      <c r="E165" s="174"/>
      <c r="F165" s="173"/>
      <c r="G165" s="174"/>
      <c r="H165" s="173"/>
      <c r="I165" s="173"/>
      <c r="J165" s="175"/>
      <c r="K165" s="172"/>
    </row>
    <row r="166" spans="1:11" ht="15">
      <c r="A166" s="172"/>
      <c r="B166" s="172"/>
      <c r="C166" s="173"/>
      <c r="D166" s="173"/>
      <c r="E166" s="174"/>
      <c r="F166" s="173"/>
      <c r="G166" s="174"/>
      <c r="H166" s="173"/>
      <c r="I166" s="173"/>
      <c r="J166" s="175"/>
      <c r="K166" s="172"/>
    </row>
    <row r="167" spans="1:11" ht="15">
      <c r="A167" s="172"/>
      <c r="B167" s="172"/>
      <c r="C167" s="173"/>
      <c r="D167" s="173"/>
      <c r="E167" s="174"/>
      <c r="F167" s="173"/>
      <c r="G167" s="174"/>
      <c r="H167" s="173"/>
      <c r="I167" s="173"/>
      <c r="J167" s="175"/>
      <c r="K167" s="172"/>
    </row>
    <row r="168" spans="1:11" ht="15">
      <c r="A168" s="172"/>
      <c r="B168" s="172"/>
      <c r="C168" s="173"/>
      <c r="D168" s="173"/>
      <c r="E168" s="174"/>
      <c r="F168" s="173"/>
      <c r="G168" s="174"/>
      <c r="H168" s="173"/>
      <c r="I168" s="173"/>
      <c r="J168" s="175"/>
      <c r="K168" s="172"/>
    </row>
    <row r="169" spans="1:11" ht="15">
      <c r="A169" s="172"/>
      <c r="B169" s="172"/>
      <c r="C169" s="173"/>
      <c r="D169" s="173"/>
      <c r="E169" s="174"/>
      <c r="F169" s="173"/>
      <c r="G169" s="174"/>
      <c r="H169" s="173"/>
      <c r="I169" s="173"/>
      <c r="J169" s="175"/>
      <c r="K169" s="172"/>
    </row>
    <row r="170" spans="1:11" ht="15">
      <c r="A170" s="172"/>
      <c r="B170" s="172"/>
      <c r="C170" s="173"/>
      <c r="D170" s="173"/>
      <c r="E170" s="174"/>
      <c r="F170" s="173"/>
      <c r="G170" s="174"/>
      <c r="H170" s="173"/>
      <c r="I170" s="173"/>
      <c r="J170" s="175"/>
      <c r="K170" s="172"/>
    </row>
    <row r="171" spans="1:11" ht="15">
      <c r="A171" s="172"/>
      <c r="B171" s="172"/>
      <c r="C171" s="173"/>
      <c r="D171" s="173"/>
      <c r="E171" s="174"/>
      <c r="F171" s="173"/>
      <c r="G171" s="174"/>
      <c r="H171" s="173"/>
      <c r="I171" s="173"/>
      <c r="J171" s="175"/>
      <c r="K171" s="172"/>
    </row>
    <row r="172" spans="1:11" ht="15">
      <c r="A172" s="172"/>
      <c r="B172" s="172"/>
      <c r="C172" s="173"/>
      <c r="D172" s="173"/>
      <c r="E172" s="174"/>
      <c r="F172" s="173"/>
      <c r="G172" s="174"/>
      <c r="H172" s="173"/>
      <c r="I172" s="173"/>
      <c r="J172" s="175"/>
      <c r="K172" s="172"/>
    </row>
    <row r="173" spans="1:11" ht="15">
      <c r="A173" s="172"/>
      <c r="B173" s="172"/>
      <c r="C173" s="173"/>
      <c r="D173" s="173"/>
      <c r="E173" s="174"/>
      <c r="F173" s="173"/>
      <c r="G173" s="174"/>
      <c r="H173" s="173"/>
      <c r="I173" s="173"/>
      <c r="J173" s="175"/>
      <c r="K173" s="172"/>
    </row>
    <row r="174" spans="1:11" ht="15">
      <c r="A174" s="172"/>
      <c r="B174" s="172"/>
      <c r="C174" s="173"/>
      <c r="D174" s="173"/>
      <c r="E174" s="174"/>
      <c r="F174" s="173"/>
      <c r="G174" s="174"/>
      <c r="H174" s="173"/>
      <c r="I174" s="173"/>
      <c r="J174" s="175"/>
      <c r="K174" s="172"/>
    </row>
    <row r="175" spans="1:11" ht="15">
      <c r="A175" s="172"/>
      <c r="B175" s="172"/>
      <c r="C175" s="173"/>
      <c r="D175" s="173"/>
      <c r="E175" s="174"/>
      <c r="F175" s="173"/>
      <c r="G175" s="174"/>
      <c r="H175" s="173"/>
      <c r="I175" s="173"/>
      <c r="J175" s="175"/>
      <c r="K175" s="172"/>
    </row>
    <row r="176" spans="1:11" ht="15">
      <c r="A176" s="172"/>
      <c r="B176" s="172"/>
      <c r="C176" s="173"/>
      <c r="D176" s="173"/>
      <c r="E176" s="174"/>
      <c r="F176" s="173"/>
      <c r="G176" s="174"/>
      <c r="H176" s="173"/>
      <c r="I176" s="173"/>
      <c r="J176" s="175"/>
      <c r="K176" s="172"/>
    </row>
    <row r="177" spans="1:11" ht="15">
      <c r="A177" s="172"/>
      <c r="B177" s="172"/>
      <c r="C177" s="173"/>
      <c r="D177" s="173"/>
      <c r="E177" s="174"/>
      <c r="F177" s="173"/>
      <c r="G177" s="174"/>
      <c r="H177" s="173"/>
      <c r="I177" s="173"/>
      <c r="J177" s="175"/>
      <c r="K177" s="172"/>
    </row>
    <row r="178" spans="1:11" ht="15">
      <c r="A178" s="172"/>
      <c r="B178" s="172"/>
      <c r="C178" s="173"/>
      <c r="D178" s="173"/>
      <c r="E178" s="174"/>
      <c r="F178" s="173"/>
      <c r="G178" s="174"/>
      <c r="H178" s="173"/>
      <c r="I178" s="173"/>
      <c r="J178" s="175"/>
      <c r="K178" s="172"/>
    </row>
    <row r="179" spans="1:11" ht="15">
      <c r="A179" s="172"/>
      <c r="B179" s="172"/>
      <c r="C179" s="173"/>
      <c r="D179" s="173"/>
      <c r="E179" s="174"/>
      <c r="F179" s="173"/>
      <c r="G179" s="174"/>
      <c r="H179" s="173"/>
      <c r="I179" s="173"/>
      <c r="J179" s="175"/>
      <c r="K179" s="172"/>
    </row>
    <row r="180" spans="1:11" ht="15">
      <c r="A180" s="172"/>
      <c r="B180" s="172"/>
      <c r="C180" s="173"/>
      <c r="D180" s="173"/>
      <c r="E180" s="174"/>
      <c r="F180" s="173"/>
      <c r="G180" s="174"/>
      <c r="H180" s="173"/>
      <c r="I180" s="173"/>
      <c r="J180" s="175"/>
      <c r="K180" s="172"/>
    </row>
    <row r="181" spans="1:11" ht="15">
      <c r="A181" s="172"/>
      <c r="B181" s="172"/>
      <c r="C181" s="173"/>
      <c r="D181" s="173"/>
      <c r="E181" s="174"/>
      <c r="F181" s="173"/>
      <c r="G181" s="174"/>
      <c r="H181" s="173"/>
      <c r="I181" s="173"/>
      <c r="J181" s="175"/>
      <c r="K181" s="172"/>
    </row>
    <row r="182" spans="1:11" ht="15">
      <c r="A182" s="172"/>
      <c r="B182" s="172"/>
      <c r="C182" s="173"/>
      <c r="D182" s="173"/>
      <c r="E182" s="174"/>
      <c r="F182" s="173"/>
      <c r="G182" s="174"/>
      <c r="H182" s="173"/>
      <c r="I182" s="173"/>
      <c r="J182" s="175"/>
      <c r="K182" s="172"/>
    </row>
    <row r="183" spans="1:11" ht="15">
      <c r="A183" s="172"/>
      <c r="B183" s="172"/>
      <c r="C183" s="173"/>
      <c r="D183" s="173"/>
      <c r="E183" s="174"/>
      <c r="F183" s="173"/>
      <c r="G183" s="174"/>
      <c r="H183" s="173"/>
      <c r="I183" s="173"/>
      <c r="J183" s="175"/>
      <c r="K183" s="172"/>
    </row>
    <row r="184" spans="1:11" ht="15">
      <c r="A184" s="172"/>
      <c r="B184" s="172"/>
      <c r="C184" s="173"/>
      <c r="D184" s="173"/>
      <c r="E184" s="174"/>
      <c r="F184" s="173"/>
      <c r="G184" s="174"/>
      <c r="H184" s="173"/>
      <c r="I184" s="173"/>
      <c r="J184" s="175"/>
      <c r="K184" s="172"/>
    </row>
    <row r="185" spans="1:11" ht="15">
      <c r="A185" s="172"/>
      <c r="B185" s="172"/>
      <c r="C185" s="173"/>
      <c r="D185" s="173"/>
      <c r="E185" s="174"/>
      <c r="F185" s="173"/>
      <c r="G185" s="174"/>
      <c r="H185" s="173"/>
      <c r="I185" s="173"/>
      <c r="J185" s="175"/>
      <c r="K185" s="172"/>
    </row>
    <row r="186" spans="1:11" ht="15">
      <c r="A186" s="172"/>
      <c r="B186" s="172"/>
      <c r="C186" s="173"/>
      <c r="D186" s="173"/>
      <c r="E186" s="174"/>
      <c r="F186" s="173"/>
      <c r="G186" s="174"/>
      <c r="H186" s="173"/>
      <c r="I186" s="173"/>
      <c r="J186" s="175"/>
      <c r="K186" s="172"/>
    </row>
    <row r="187" spans="1:11" ht="15">
      <c r="A187" s="172"/>
      <c r="B187" s="172"/>
      <c r="C187" s="173"/>
      <c r="D187" s="173"/>
      <c r="E187" s="174"/>
      <c r="F187" s="173"/>
      <c r="G187" s="174"/>
      <c r="H187" s="173"/>
      <c r="I187" s="173"/>
      <c r="J187" s="175"/>
      <c r="K187" s="172"/>
    </row>
    <row r="188" spans="1:11" ht="15">
      <c r="A188" s="172"/>
      <c r="B188" s="172"/>
      <c r="C188" s="173"/>
      <c r="D188" s="173"/>
      <c r="E188" s="174"/>
      <c r="F188" s="173"/>
      <c r="G188" s="174"/>
      <c r="H188" s="173"/>
      <c r="I188" s="173"/>
      <c r="J188" s="175"/>
      <c r="K188" s="172"/>
    </row>
    <row r="189" spans="1:11" ht="15">
      <c r="A189" s="172"/>
      <c r="B189" s="172"/>
      <c r="C189" s="173"/>
      <c r="D189" s="173"/>
      <c r="E189" s="174"/>
      <c r="F189" s="173"/>
      <c r="G189" s="174"/>
      <c r="H189" s="173"/>
      <c r="I189" s="173"/>
      <c r="J189" s="175"/>
      <c r="K189" s="172"/>
    </row>
    <row r="190" spans="1:11" ht="15">
      <c r="A190" s="172"/>
      <c r="B190" s="172"/>
      <c r="C190" s="173"/>
      <c r="D190" s="173"/>
      <c r="E190" s="174"/>
      <c r="F190" s="173"/>
      <c r="G190" s="174"/>
      <c r="H190" s="173"/>
      <c r="I190" s="173"/>
      <c r="J190" s="175"/>
      <c r="K190" s="172"/>
    </row>
    <row r="191" spans="1:11" ht="15">
      <c r="A191" s="172"/>
      <c r="B191" s="172"/>
      <c r="C191" s="173"/>
      <c r="D191" s="173"/>
      <c r="E191" s="174"/>
      <c r="F191" s="173"/>
      <c r="G191" s="174"/>
      <c r="H191" s="173"/>
      <c r="I191" s="173"/>
      <c r="J191" s="175"/>
      <c r="K191" s="172"/>
    </row>
    <row r="192" spans="1:11" ht="15">
      <c r="A192" s="172"/>
      <c r="B192" s="172"/>
      <c r="C192" s="173"/>
      <c r="D192" s="173"/>
      <c r="E192" s="174"/>
      <c r="F192" s="173"/>
      <c r="G192" s="174"/>
      <c r="H192" s="173"/>
      <c r="I192" s="173"/>
      <c r="J192" s="175"/>
      <c r="K192" s="172"/>
    </row>
    <row r="193" spans="1:11" ht="15">
      <c r="A193" s="172"/>
      <c r="B193" s="172"/>
      <c r="C193" s="173"/>
      <c r="D193" s="173"/>
      <c r="E193" s="174"/>
      <c r="F193" s="173"/>
      <c r="G193" s="174"/>
      <c r="H193" s="173"/>
      <c r="I193" s="173"/>
      <c r="J193" s="175"/>
      <c r="K193" s="172"/>
    </row>
    <row r="194" spans="1:11" ht="15">
      <c r="A194" s="172"/>
      <c r="B194" s="172"/>
      <c r="C194" s="173"/>
      <c r="D194" s="173"/>
      <c r="E194" s="174"/>
      <c r="F194" s="173"/>
      <c r="G194" s="174"/>
      <c r="H194" s="173"/>
      <c r="I194" s="173"/>
      <c r="J194" s="175"/>
      <c r="K194" s="172"/>
    </row>
    <row r="195" spans="1:11" ht="15">
      <c r="A195" s="172"/>
      <c r="B195" s="172"/>
      <c r="C195" s="173"/>
      <c r="D195" s="173"/>
      <c r="E195" s="174"/>
      <c r="F195" s="173"/>
      <c r="G195" s="174"/>
      <c r="H195" s="173"/>
      <c r="I195" s="173"/>
      <c r="J195" s="175"/>
      <c r="K195" s="172"/>
    </row>
    <row r="196" spans="1:11" ht="15">
      <c r="A196" s="172"/>
      <c r="B196" s="172"/>
      <c r="C196" s="173"/>
      <c r="D196" s="173"/>
      <c r="E196" s="174"/>
      <c r="F196" s="173"/>
      <c r="G196" s="174"/>
      <c r="H196" s="173"/>
      <c r="I196" s="173"/>
      <c r="J196" s="175"/>
      <c r="K196" s="172"/>
    </row>
    <row r="197" spans="1:11" ht="15">
      <c r="A197" s="172"/>
      <c r="B197" s="172"/>
      <c r="C197" s="173"/>
      <c r="D197" s="173"/>
      <c r="E197" s="174"/>
      <c r="F197" s="173"/>
      <c r="G197" s="174"/>
      <c r="H197" s="173"/>
      <c r="I197" s="173"/>
      <c r="J197" s="175"/>
      <c r="K197" s="172"/>
    </row>
    <row r="198" spans="1:11" ht="15">
      <c r="A198" s="172"/>
      <c r="B198" s="172"/>
      <c r="C198" s="173"/>
      <c r="D198" s="173"/>
      <c r="E198" s="174"/>
      <c r="F198" s="173"/>
      <c r="G198" s="174"/>
      <c r="H198" s="173"/>
      <c r="I198" s="173"/>
      <c r="J198" s="175"/>
      <c r="K198" s="172"/>
    </row>
    <row r="199" spans="1:11" ht="15">
      <c r="A199" s="172"/>
      <c r="B199" s="172"/>
      <c r="C199" s="173"/>
      <c r="D199" s="173"/>
      <c r="E199" s="174"/>
      <c r="F199" s="173"/>
      <c r="G199" s="174"/>
      <c r="H199" s="173"/>
      <c r="I199" s="173"/>
      <c r="J199" s="175"/>
      <c r="K199" s="172"/>
    </row>
    <row r="200" spans="1:11" ht="15">
      <c r="A200" s="172"/>
      <c r="B200" s="172"/>
      <c r="C200" s="173"/>
      <c r="D200" s="173"/>
      <c r="E200" s="174"/>
      <c r="F200" s="173"/>
      <c r="G200" s="174"/>
      <c r="H200" s="173"/>
      <c r="I200" s="173"/>
      <c r="J200" s="175"/>
      <c r="K200" s="172"/>
    </row>
    <row r="201" spans="1:11" ht="15">
      <c r="A201" s="172"/>
      <c r="B201" s="172"/>
      <c r="C201" s="173"/>
      <c r="D201" s="173"/>
      <c r="E201" s="174"/>
      <c r="F201" s="173"/>
      <c r="G201" s="174"/>
      <c r="H201" s="173"/>
      <c r="I201" s="173"/>
      <c r="J201" s="175"/>
      <c r="K201" s="172"/>
    </row>
    <row r="202" spans="1:11" ht="15">
      <c r="A202" s="172"/>
      <c r="B202" s="172"/>
      <c r="C202" s="173"/>
      <c r="D202" s="173"/>
      <c r="E202" s="174"/>
      <c r="F202" s="173"/>
      <c r="G202" s="174"/>
      <c r="H202" s="173"/>
      <c r="I202" s="173"/>
      <c r="J202" s="175"/>
      <c r="K202" s="172"/>
    </row>
    <row r="203" spans="1:11" ht="15">
      <c r="A203" s="172"/>
      <c r="B203" s="172"/>
      <c r="C203" s="173"/>
      <c r="D203" s="173"/>
      <c r="E203" s="174"/>
      <c r="F203" s="173"/>
      <c r="G203" s="174"/>
      <c r="H203" s="173"/>
      <c r="I203" s="173"/>
      <c r="J203" s="175"/>
      <c r="K203" s="172"/>
    </row>
    <row r="204" spans="1:11" ht="15">
      <c r="A204" s="172"/>
      <c r="B204" s="172"/>
      <c r="C204" s="173"/>
      <c r="D204" s="173"/>
      <c r="E204" s="174"/>
      <c r="F204" s="173"/>
      <c r="G204" s="174"/>
      <c r="H204" s="173"/>
      <c r="I204" s="173"/>
      <c r="J204" s="175"/>
      <c r="K204" s="172"/>
    </row>
    <row r="205" spans="1:11" ht="15">
      <c r="A205" s="172"/>
      <c r="B205" s="172"/>
      <c r="C205" s="173"/>
      <c r="D205" s="173"/>
      <c r="E205" s="174"/>
      <c r="F205" s="173"/>
      <c r="G205" s="174"/>
      <c r="H205" s="173"/>
      <c r="I205" s="173"/>
      <c r="J205" s="175"/>
      <c r="K205" s="172"/>
    </row>
    <row r="206" spans="1:11" ht="15">
      <c r="A206" s="172"/>
      <c r="B206" s="172"/>
      <c r="C206" s="173"/>
      <c r="D206" s="173"/>
      <c r="E206" s="174"/>
      <c r="F206" s="173"/>
      <c r="G206" s="174"/>
      <c r="H206" s="173"/>
      <c r="I206" s="173"/>
      <c r="J206" s="175"/>
      <c r="K206" s="172"/>
    </row>
    <row r="207" spans="1:11" ht="15">
      <c r="A207" s="172"/>
      <c r="B207" s="172"/>
      <c r="C207" s="173"/>
      <c r="D207" s="173"/>
      <c r="E207" s="174"/>
      <c r="F207" s="173"/>
      <c r="G207" s="174"/>
      <c r="H207" s="173"/>
      <c r="I207" s="173"/>
      <c r="J207" s="175"/>
      <c r="K207" s="172"/>
    </row>
    <row r="208" spans="1:11" ht="15">
      <c r="A208" s="172"/>
      <c r="B208" s="172"/>
      <c r="C208" s="173"/>
      <c r="D208" s="173"/>
      <c r="E208" s="174"/>
      <c r="F208" s="173"/>
      <c r="G208" s="174"/>
      <c r="H208" s="173"/>
      <c r="I208" s="173"/>
      <c r="J208" s="175"/>
      <c r="K208" s="172"/>
    </row>
    <row r="209" spans="1:11" ht="15">
      <c r="A209" s="172"/>
      <c r="B209" s="172"/>
      <c r="C209" s="173"/>
      <c r="D209" s="173"/>
      <c r="E209" s="174"/>
      <c r="F209" s="173"/>
      <c r="G209" s="174"/>
      <c r="H209" s="173"/>
      <c r="I209" s="173"/>
      <c r="J209" s="175"/>
      <c r="K209" s="172"/>
    </row>
    <row r="210" spans="1:11" ht="15">
      <c r="A210" s="172"/>
      <c r="B210" s="172"/>
      <c r="C210" s="173"/>
      <c r="D210" s="173"/>
      <c r="E210" s="174"/>
      <c r="F210" s="173"/>
      <c r="G210" s="174"/>
      <c r="H210" s="173"/>
      <c r="I210" s="173"/>
      <c r="J210" s="175"/>
      <c r="K210" s="172"/>
    </row>
    <row r="211" spans="1:11" ht="15">
      <c r="A211" s="172"/>
      <c r="B211" s="172"/>
      <c r="C211" s="173"/>
      <c r="D211" s="173"/>
      <c r="E211" s="174"/>
      <c r="F211" s="173"/>
      <c r="G211" s="174"/>
      <c r="H211" s="173"/>
      <c r="I211" s="173"/>
      <c r="J211" s="175"/>
      <c r="K211" s="172"/>
    </row>
    <row r="212" spans="1:11" ht="15">
      <c r="A212" s="172"/>
      <c r="B212" s="172"/>
      <c r="C212" s="173"/>
      <c r="D212" s="173"/>
      <c r="E212" s="174"/>
      <c r="F212" s="173"/>
      <c r="G212" s="174"/>
      <c r="H212" s="173"/>
      <c r="I212" s="173"/>
      <c r="J212" s="175"/>
      <c r="K212" s="172"/>
    </row>
    <row r="213" spans="1:11" ht="15">
      <c r="A213" s="172"/>
      <c r="B213" s="172"/>
      <c r="C213" s="173"/>
      <c r="D213" s="173"/>
      <c r="E213" s="174"/>
      <c r="F213" s="173"/>
      <c r="G213" s="174"/>
      <c r="H213" s="173"/>
      <c r="I213" s="173"/>
      <c r="J213" s="175"/>
      <c r="K213" s="172"/>
    </row>
    <row r="214" spans="1:11" ht="15">
      <c r="A214" s="172"/>
      <c r="B214" s="172"/>
      <c r="C214" s="173"/>
      <c r="D214" s="173"/>
      <c r="E214" s="174"/>
      <c r="F214" s="173"/>
      <c r="G214" s="174"/>
      <c r="H214" s="173"/>
      <c r="I214" s="173"/>
      <c r="J214" s="175"/>
      <c r="K214" s="172"/>
    </row>
    <row r="215" spans="1:11" ht="15">
      <c r="A215" s="172"/>
      <c r="B215" s="172"/>
      <c r="C215" s="173"/>
      <c r="D215" s="173"/>
      <c r="E215" s="174"/>
      <c r="F215" s="173"/>
      <c r="G215" s="174"/>
      <c r="H215" s="173"/>
      <c r="I215" s="173"/>
      <c r="J215" s="175"/>
      <c r="K215" s="172"/>
    </row>
    <row r="216" spans="1:11" ht="15">
      <c r="A216" s="172"/>
      <c r="B216" s="172"/>
      <c r="C216" s="173"/>
      <c r="D216" s="173"/>
      <c r="E216" s="174"/>
      <c r="F216" s="173"/>
      <c r="G216" s="174"/>
      <c r="H216" s="173"/>
      <c r="I216" s="173"/>
      <c r="J216" s="175"/>
      <c r="K216" s="172"/>
    </row>
    <row r="217" spans="1:11" ht="15">
      <c r="A217" s="172"/>
      <c r="B217" s="172"/>
      <c r="C217" s="173"/>
      <c r="D217" s="173"/>
      <c r="E217" s="174"/>
      <c r="F217" s="173"/>
      <c r="G217" s="174"/>
      <c r="H217" s="173"/>
      <c r="I217" s="173"/>
      <c r="J217" s="175"/>
      <c r="K217" s="172"/>
    </row>
    <row r="218" spans="1:11" ht="15">
      <c r="A218" s="172"/>
      <c r="B218" s="172"/>
      <c r="C218" s="173"/>
      <c r="D218" s="173"/>
      <c r="E218" s="174"/>
      <c r="F218" s="173"/>
      <c r="G218" s="174"/>
      <c r="H218" s="173"/>
      <c r="I218" s="173"/>
      <c r="J218" s="175"/>
      <c r="K218" s="172"/>
    </row>
    <row r="219" spans="1:11" ht="15">
      <c r="A219" s="172"/>
      <c r="B219" s="172"/>
      <c r="C219" s="173"/>
      <c r="D219" s="173"/>
      <c r="E219" s="174"/>
      <c r="F219" s="173"/>
      <c r="G219" s="174"/>
      <c r="H219" s="173"/>
      <c r="I219" s="173"/>
      <c r="J219" s="175"/>
      <c r="K219" s="172"/>
    </row>
    <row r="220" spans="1:11" ht="15">
      <c r="A220" s="172"/>
      <c r="B220" s="172"/>
      <c r="C220" s="173"/>
      <c r="D220" s="173"/>
      <c r="E220" s="174"/>
      <c r="F220" s="173"/>
      <c r="G220" s="174"/>
      <c r="H220" s="173"/>
      <c r="I220" s="173"/>
      <c r="J220" s="175"/>
      <c r="K220" s="172"/>
    </row>
    <row r="221" spans="1:11" ht="15">
      <c r="A221" s="172"/>
      <c r="B221" s="172"/>
      <c r="C221" s="173"/>
      <c r="D221" s="173"/>
      <c r="E221" s="174"/>
      <c r="F221" s="173"/>
      <c r="G221" s="174"/>
      <c r="H221" s="173"/>
      <c r="I221" s="173"/>
      <c r="J221" s="175"/>
      <c r="K221" s="172"/>
    </row>
    <row r="222" spans="1:11" ht="15">
      <c r="A222" s="172"/>
      <c r="B222" s="172"/>
      <c r="C222" s="173"/>
      <c r="D222" s="173"/>
      <c r="E222" s="174"/>
      <c r="F222" s="173"/>
      <c r="G222" s="174"/>
      <c r="H222" s="173"/>
      <c r="I222" s="173"/>
      <c r="J222" s="175"/>
      <c r="K222" s="172"/>
    </row>
    <row r="223" spans="1:11" ht="15">
      <c r="A223" s="172"/>
      <c r="B223" s="172"/>
      <c r="C223" s="173"/>
      <c r="D223" s="173"/>
      <c r="E223" s="174"/>
      <c r="F223" s="173"/>
      <c r="G223" s="174"/>
      <c r="H223" s="173"/>
      <c r="I223" s="173"/>
      <c r="J223" s="175"/>
      <c r="K223" s="172"/>
    </row>
    <row r="224" spans="1:11" ht="15">
      <c r="A224" s="172"/>
      <c r="B224" s="172"/>
      <c r="C224" s="173"/>
      <c r="D224" s="173"/>
      <c r="E224" s="174"/>
      <c r="F224" s="173"/>
      <c r="G224" s="174"/>
      <c r="H224" s="173"/>
      <c r="I224" s="173"/>
      <c r="J224" s="175"/>
      <c r="K224" s="172"/>
    </row>
    <row r="225" spans="1:11" ht="15">
      <c r="A225" s="172"/>
      <c r="B225" s="172"/>
      <c r="C225" s="173"/>
      <c r="D225" s="173"/>
      <c r="E225" s="174"/>
      <c r="F225" s="173"/>
      <c r="G225" s="174"/>
      <c r="H225" s="173"/>
      <c r="I225" s="173"/>
      <c r="J225" s="175"/>
      <c r="K225" s="172"/>
    </row>
    <row r="226" spans="1:11" ht="15">
      <c r="A226" s="172"/>
      <c r="B226" s="172"/>
      <c r="C226" s="173"/>
      <c r="D226" s="173"/>
      <c r="E226" s="174"/>
      <c r="F226" s="173"/>
      <c r="G226" s="174"/>
      <c r="H226" s="173"/>
      <c r="I226" s="173"/>
      <c r="J226" s="175"/>
      <c r="K226" s="172"/>
    </row>
    <row r="227" spans="1:11" ht="15">
      <c r="A227" s="172"/>
      <c r="B227" s="172"/>
      <c r="C227" s="173"/>
      <c r="D227" s="173"/>
      <c r="E227" s="174"/>
      <c r="F227" s="173"/>
      <c r="G227" s="174"/>
      <c r="H227" s="173"/>
      <c r="I227" s="173"/>
      <c r="J227" s="175"/>
      <c r="K227" s="172"/>
    </row>
    <row r="228" spans="1:11" ht="15">
      <c r="A228" s="172"/>
      <c r="B228" s="172"/>
      <c r="C228" s="173"/>
      <c r="D228" s="173"/>
      <c r="E228" s="174"/>
      <c r="F228" s="173"/>
      <c r="G228" s="174"/>
      <c r="H228" s="173"/>
      <c r="I228" s="173"/>
      <c r="J228" s="175"/>
      <c r="K228" s="172"/>
    </row>
    <row r="229" spans="1:11" ht="15">
      <c r="A229" s="172"/>
      <c r="B229" s="172"/>
      <c r="C229" s="173"/>
      <c r="D229" s="173"/>
      <c r="E229" s="174"/>
      <c r="F229" s="173"/>
      <c r="G229" s="174"/>
      <c r="H229" s="173"/>
      <c r="I229" s="173"/>
      <c r="J229" s="175"/>
      <c r="K229" s="172"/>
    </row>
    <row r="230" spans="1:11" ht="15">
      <c r="A230" s="172"/>
      <c r="B230" s="172"/>
      <c r="C230" s="173"/>
      <c r="D230" s="173"/>
      <c r="E230" s="174"/>
      <c r="F230" s="173"/>
      <c r="G230" s="174"/>
      <c r="H230" s="173"/>
      <c r="I230" s="173"/>
      <c r="J230" s="175"/>
      <c r="K230" s="172"/>
    </row>
    <row r="231" spans="1:11" ht="15">
      <c r="A231" s="172"/>
      <c r="B231" s="172"/>
      <c r="C231" s="173"/>
      <c r="D231" s="173"/>
      <c r="E231" s="174"/>
      <c r="F231" s="173"/>
      <c r="G231" s="174"/>
      <c r="H231" s="173"/>
      <c r="I231" s="173"/>
      <c r="J231" s="175"/>
      <c r="K231" s="172"/>
    </row>
    <row r="232" spans="1:11" ht="15">
      <c r="A232" s="172"/>
      <c r="B232" s="172"/>
      <c r="C232" s="173"/>
      <c r="D232" s="173"/>
      <c r="E232" s="174"/>
      <c r="F232" s="173"/>
      <c r="G232" s="174"/>
      <c r="H232" s="173"/>
      <c r="I232" s="173"/>
      <c r="J232" s="175"/>
      <c r="K232" s="172"/>
    </row>
    <row r="233" spans="1:11" ht="15">
      <c r="A233" s="172"/>
      <c r="B233" s="172"/>
      <c r="C233" s="173"/>
      <c r="D233" s="173"/>
      <c r="E233" s="174"/>
      <c r="F233" s="173"/>
      <c r="G233" s="174"/>
      <c r="H233" s="173"/>
      <c r="I233" s="173"/>
      <c r="J233" s="175"/>
      <c r="K233" s="172"/>
    </row>
    <row r="234" spans="1:11" ht="15">
      <c r="A234" s="172"/>
      <c r="B234" s="172"/>
      <c r="C234" s="173"/>
      <c r="D234" s="173"/>
      <c r="E234" s="174"/>
      <c r="F234" s="173"/>
      <c r="G234" s="174"/>
      <c r="H234" s="173"/>
      <c r="I234" s="173"/>
      <c r="J234" s="175"/>
      <c r="K234" s="172"/>
    </row>
    <row r="235" spans="1:11" ht="15">
      <c r="A235" s="172"/>
      <c r="B235" s="172"/>
      <c r="C235" s="173"/>
      <c r="D235" s="173"/>
      <c r="E235" s="174"/>
      <c r="F235" s="173"/>
      <c r="G235" s="174"/>
      <c r="H235" s="173"/>
      <c r="I235" s="173"/>
      <c r="J235" s="175"/>
      <c r="K235" s="172"/>
    </row>
    <row r="236" spans="1:11" ht="15">
      <c r="A236" s="172"/>
      <c r="B236" s="172"/>
      <c r="C236" s="173"/>
      <c r="D236" s="173"/>
      <c r="E236" s="174"/>
      <c r="F236" s="173"/>
      <c r="G236" s="174"/>
      <c r="H236" s="173"/>
      <c r="I236" s="173"/>
      <c r="J236" s="175"/>
      <c r="K236" s="172"/>
    </row>
    <row r="237" spans="1:11" ht="15">
      <c r="A237" s="172"/>
      <c r="B237" s="172"/>
      <c r="C237" s="173"/>
      <c r="D237" s="173"/>
      <c r="E237" s="174"/>
      <c r="F237" s="173"/>
      <c r="G237" s="174"/>
      <c r="H237" s="173"/>
      <c r="I237" s="173"/>
      <c r="J237" s="175"/>
      <c r="K237" s="172"/>
    </row>
    <row r="238" spans="1:11" ht="15">
      <c r="A238" s="172"/>
      <c r="B238" s="172"/>
      <c r="C238" s="173"/>
      <c r="D238" s="173"/>
      <c r="E238" s="174"/>
      <c r="F238" s="173"/>
      <c r="G238" s="174"/>
      <c r="H238" s="173"/>
      <c r="I238" s="173"/>
      <c r="J238" s="175"/>
      <c r="K238" s="172"/>
    </row>
    <row r="239" spans="1:11" ht="15">
      <c r="A239" s="172"/>
      <c r="B239" s="172"/>
      <c r="C239" s="173"/>
      <c r="D239" s="173"/>
      <c r="E239" s="174"/>
      <c r="F239" s="173"/>
      <c r="G239" s="174"/>
      <c r="H239" s="173"/>
      <c r="I239" s="173"/>
      <c r="J239" s="175"/>
      <c r="K239" s="172"/>
    </row>
    <row r="240" spans="1:11" ht="15">
      <c r="A240" s="172"/>
      <c r="B240" s="172"/>
      <c r="C240" s="173"/>
      <c r="D240" s="173"/>
      <c r="E240" s="174"/>
      <c r="F240" s="173"/>
      <c r="G240" s="174"/>
      <c r="H240" s="173"/>
      <c r="I240" s="173"/>
      <c r="J240" s="175"/>
      <c r="K240" s="172"/>
    </row>
    <row r="241" spans="1:11" ht="15">
      <c r="A241" s="172"/>
      <c r="B241" s="172"/>
      <c r="C241" s="173"/>
      <c r="D241" s="173"/>
      <c r="E241" s="174"/>
      <c r="F241" s="173"/>
      <c r="G241" s="174"/>
      <c r="H241" s="173"/>
      <c r="I241" s="173"/>
      <c r="J241" s="175"/>
      <c r="K241" s="172"/>
    </row>
    <row r="242" spans="1:11" ht="15">
      <c r="A242" s="172"/>
      <c r="B242" s="172"/>
      <c r="C242" s="173"/>
      <c r="D242" s="173"/>
      <c r="E242" s="174"/>
      <c r="F242" s="173"/>
      <c r="G242" s="174"/>
      <c r="H242" s="173"/>
      <c r="I242" s="173"/>
      <c r="J242" s="175"/>
      <c r="K242" s="172"/>
    </row>
    <row r="243" spans="1:11" ht="15">
      <c r="A243" s="172"/>
      <c r="B243" s="172"/>
      <c r="C243" s="173"/>
      <c r="D243" s="173"/>
      <c r="E243" s="174"/>
      <c r="F243" s="173"/>
      <c r="G243" s="174"/>
      <c r="H243" s="173"/>
      <c r="I243" s="173"/>
      <c r="J243" s="175"/>
      <c r="K243" s="172"/>
    </row>
    <row r="244" spans="1:11" ht="15">
      <c r="A244" s="172"/>
      <c r="B244" s="172"/>
      <c r="C244" s="173"/>
      <c r="D244" s="173"/>
      <c r="E244" s="174"/>
      <c r="F244" s="173"/>
      <c r="G244" s="174"/>
      <c r="H244" s="173"/>
      <c r="I244" s="173"/>
      <c r="J244" s="175"/>
      <c r="K244" s="172"/>
    </row>
    <row r="245" spans="1:11" ht="15">
      <c r="A245" s="172"/>
      <c r="B245" s="172"/>
      <c r="C245" s="173"/>
      <c r="D245" s="173"/>
      <c r="E245" s="174"/>
      <c r="F245" s="173"/>
      <c r="G245" s="174"/>
      <c r="H245" s="173"/>
      <c r="I245" s="173"/>
      <c r="J245" s="175"/>
      <c r="K245" s="172"/>
    </row>
    <row r="246" spans="1:11" ht="15">
      <c r="A246" s="172"/>
      <c r="B246" s="172"/>
      <c r="C246" s="173"/>
      <c r="D246" s="173"/>
      <c r="E246" s="174"/>
      <c r="F246" s="173"/>
      <c r="G246" s="174"/>
      <c r="H246" s="173"/>
      <c r="I246" s="173"/>
      <c r="J246" s="175"/>
      <c r="K246" s="172"/>
    </row>
    <row r="247" spans="1:11" ht="15">
      <c r="A247" s="172"/>
      <c r="B247" s="172"/>
      <c r="C247" s="173"/>
      <c r="D247" s="173"/>
      <c r="E247" s="174"/>
      <c r="F247" s="173"/>
      <c r="G247" s="174"/>
      <c r="H247" s="173"/>
      <c r="I247" s="173"/>
      <c r="J247" s="175"/>
      <c r="K247" s="172"/>
    </row>
    <row r="248" spans="1:11" ht="15">
      <c r="A248" s="172"/>
      <c r="B248" s="172"/>
      <c r="C248" s="173"/>
      <c r="D248" s="173"/>
      <c r="E248" s="174"/>
      <c r="F248" s="173"/>
      <c r="G248" s="174"/>
      <c r="H248" s="173"/>
      <c r="I248" s="173"/>
      <c r="J248" s="175"/>
      <c r="K248" s="172"/>
    </row>
    <row r="249" spans="1:11" ht="15">
      <c r="A249" s="172"/>
      <c r="B249" s="172"/>
      <c r="C249" s="173"/>
      <c r="D249" s="173"/>
      <c r="E249" s="174"/>
      <c r="F249" s="173"/>
      <c r="G249" s="174"/>
      <c r="H249" s="173"/>
      <c r="I249" s="173"/>
      <c r="J249" s="175"/>
      <c r="K249" s="172"/>
    </row>
    <row r="250" spans="1:11" ht="15">
      <c r="A250" s="172"/>
      <c r="B250" s="172"/>
      <c r="C250" s="173"/>
      <c r="D250" s="173"/>
      <c r="E250" s="174"/>
      <c r="F250" s="173"/>
      <c r="G250" s="174"/>
      <c r="H250" s="173"/>
      <c r="I250" s="173"/>
      <c r="J250" s="175"/>
      <c r="K250" s="172"/>
    </row>
    <row r="251" spans="1:11" ht="15">
      <c r="A251" s="172"/>
      <c r="B251" s="172"/>
      <c r="C251" s="173"/>
      <c r="D251" s="173"/>
      <c r="E251" s="174"/>
      <c r="F251" s="173"/>
      <c r="G251" s="174"/>
      <c r="H251" s="173"/>
      <c r="I251" s="173"/>
      <c r="J251" s="175"/>
      <c r="K251" s="172"/>
    </row>
    <row r="252" spans="1:11" ht="15">
      <c r="A252" s="172"/>
      <c r="B252" s="172"/>
      <c r="C252" s="173"/>
      <c r="D252" s="173"/>
      <c r="E252" s="174"/>
      <c r="F252" s="173"/>
      <c r="G252" s="174"/>
      <c r="H252" s="173"/>
      <c r="I252" s="173"/>
      <c r="J252" s="175"/>
      <c r="K252" s="172"/>
    </row>
    <row r="253" spans="1:11" ht="15">
      <c r="A253" s="172"/>
      <c r="B253" s="172"/>
      <c r="C253" s="173"/>
      <c r="D253" s="173"/>
      <c r="E253" s="174"/>
      <c r="F253" s="173"/>
      <c r="G253" s="174"/>
      <c r="H253" s="173"/>
      <c r="I253" s="173"/>
      <c r="J253" s="175"/>
      <c r="K253" s="172"/>
    </row>
    <row r="254" spans="1:11" ht="15">
      <c r="A254" s="172"/>
      <c r="B254" s="172"/>
      <c r="C254" s="173"/>
      <c r="D254" s="173"/>
      <c r="E254" s="174"/>
      <c r="F254" s="173"/>
      <c r="G254" s="174"/>
      <c r="H254" s="173"/>
      <c r="I254" s="173"/>
      <c r="J254" s="175"/>
      <c r="K254" s="172"/>
    </row>
    <row r="255" spans="1:11" ht="15">
      <c r="A255" s="172"/>
      <c r="B255" s="172"/>
      <c r="C255" s="173"/>
      <c r="D255" s="173"/>
      <c r="E255" s="174"/>
      <c r="F255" s="173"/>
      <c r="G255" s="174"/>
      <c r="H255" s="173"/>
      <c r="I255" s="173"/>
      <c r="J255" s="175"/>
      <c r="K255" s="172"/>
    </row>
    <row r="256" spans="1:11" ht="15">
      <c r="A256" s="172"/>
      <c r="B256" s="172"/>
      <c r="C256" s="173"/>
      <c r="D256" s="173"/>
      <c r="E256" s="174"/>
      <c r="F256" s="173"/>
      <c r="G256" s="174"/>
      <c r="H256" s="173"/>
      <c r="I256" s="173"/>
      <c r="J256" s="175"/>
      <c r="K256" s="172"/>
    </row>
    <row r="257" spans="1:11" ht="15">
      <c r="A257" s="172"/>
      <c r="B257" s="172"/>
      <c r="C257" s="173"/>
      <c r="D257" s="173"/>
      <c r="E257" s="174"/>
      <c r="F257" s="173"/>
      <c r="G257" s="174"/>
      <c r="H257" s="173"/>
      <c r="I257" s="173"/>
      <c r="J257" s="175"/>
      <c r="K257" s="172"/>
    </row>
    <row r="258" spans="1:11" ht="15">
      <c r="A258" s="172"/>
      <c r="B258" s="172"/>
      <c r="C258" s="173"/>
      <c r="D258" s="173"/>
      <c r="E258" s="174"/>
      <c r="F258" s="173"/>
      <c r="G258" s="174"/>
      <c r="H258" s="173"/>
      <c r="I258" s="173"/>
      <c r="J258" s="175"/>
      <c r="K258" s="172"/>
    </row>
    <row r="259" spans="1:11" ht="15">
      <c r="A259" s="172"/>
      <c r="B259" s="172"/>
      <c r="C259" s="173"/>
      <c r="D259" s="173"/>
      <c r="E259" s="174"/>
      <c r="F259" s="173"/>
      <c r="G259" s="174"/>
      <c r="H259" s="173"/>
      <c r="I259" s="173"/>
      <c r="J259" s="175"/>
      <c r="K259" s="172"/>
    </row>
    <row r="260" spans="1:11" ht="15">
      <c r="A260" s="172"/>
      <c r="B260" s="172"/>
      <c r="C260" s="173"/>
      <c r="D260" s="173"/>
      <c r="E260" s="174"/>
      <c r="F260" s="173"/>
      <c r="G260" s="174"/>
      <c r="H260" s="173"/>
      <c r="I260" s="173"/>
      <c r="J260" s="175"/>
      <c r="K260" s="172"/>
    </row>
    <row r="261" spans="1:11" ht="15">
      <c r="A261" s="172"/>
      <c r="B261" s="172"/>
      <c r="C261" s="173"/>
      <c r="D261" s="173"/>
      <c r="E261" s="174"/>
      <c r="F261" s="173"/>
      <c r="G261" s="174"/>
      <c r="H261" s="173"/>
      <c r="I261" s="173"/>
      <c r="J261" s="175"/>
      <c r="K261" s="172"/>
    </row>
    <row r="262" spans="1:11" ht="15">
      <c r="A262" s="172"/>
      <c r="B262" s="172"/>
      <c r="C262" s="173"/>
      <c r="D262" s="173"/>
      <c r="E262" s="174"/>
      <c r="F262" s="173"/>
      <c r="G262" s="174"/>
      <c r="H262" s="173"/>
      <c r="I262" s="173"/>
      <c r="J262" s="175"/>
      <c r="K262" s="172"/>
    </row>
    <row r="263" spans="1:11" ht="15">
      <c r="A263" s="172"/>
      <c r="B263" s="172"/>
      <c r="C263" s="173"/>
      <c r="D263" s="173"/>
      <c r="E263" s="174"/>
      <c r="F263" s="173"/>
      <c r="G263" s="174"/>
      <c r="H263" s="173"/>
      <c r="I263" s="173"/>
      <c r="J263" s="175"/>
      <c r="K263" s="172"/>
    </row>
    <row r="264" spans="1:11" ht="15">
      <c r="A264" s="172"/>
      <c r="B264" s="172"/>
      <c r="C264" s="173"/>
      <c r="D264" s="173"/>
      <c r="E264" s="174"/>
      <c r="F264" s="173"/>
      <c r="G264" s="174"/>
      <c r="H264" s="173"/>
      <c r="I264" s="173"/>
      <c r="J264" s="175"/>
      <c r="K264" s="172"/>
    </row>
    <row r="265" spans="1:11" ht="15">
      <c r="A265" s="172"/>
      <c r="B265" s="172"/>
      <c r="C265" s="173"/>
      <c r="D265" s="173"/>
      <c r="E265" s="174"/>
      <c r="F265" s="173"/>
      <c r="G265" s="174"/>
      <c r="H265" s="173"/>
      <c r="I265" s="173"/>
      <c r="J265" s="175"/>
      <c r="K265" s="172"/>
    </row>
    <row r="266" spans="1:11" ht="15">
      <c r="A266" s="172"/>
      <c r="B266" s="172"/>
      <c r="C266" s="173"/>
      <c r="D266" s="173"/>
      <c r="E266" s="174"/>
      <c r="F266" s="173"/>
      <c r="G266" s="174"/>
      <c r="H266" s="173"/>
      <c r="I266" s="173"/>
      <c r="J266" s="175"/>
      <c r="K266" s="172"/>
    </row>
    <row r="267" spans="1:11" ht="15">
      <c r="A267" s="172"/>
      <c r="B267" s="172"/>
      <c r="C267" s="173"/>
      <c r="D267" s="173"/>
      <c r="E267" s="174"/>
      <c r="F267" s="173"/>
      <c r="G267" s="174"/>
      <c r="H267" s="173"/>
      <c r="I267" s="173"/>
      <c r="J267" s="175"/>
      <c r="K267" s="172"/>
    </row>
    <row r="268" spans="1:11" ht="15">
      <c r="A268" s="172"/>
      <c r="B268" s="172"/>
      <c r="C268" s="173"/>
      <c r="D268" s="173"/>
      <c r="E268" s="174"/>
      <c r="F268" s="173"/>
      <c r="G268" s="174"/>
      <c r="H268" s="173"/>
      <c r="I268" s="173"/>
      <c r="J268" s="175"/>
      <c r="K268" s="172"/>
    </row>
    <row r="269" spans="1:11" ht="15">
      <c r="A269" s="172"/>
      <c r="B269" s="172"/>
      <c r="C269" s="173"/>
      <c r="D269" s="173"/>
      <c r="E269" s="174"/>
      <c r="F269" s="173"/>
      <c r="G269" s="174"/>
      <c r="H269" s="173"/>
      <c r="I269" s="173"/>
      <c r="J269" s="175"/>
      <c r="K269" s="172"/>
    </row>
    <row r="270" spans="1:11" ht="15">
      <c r="A270" s="172"/>
      <c r="B270" s="172"/>
      <c r="C270" s="173"/>
      <c r="D270" s="173"/>
      <c r="E270" s="174"/>
      <c r="F270" s="173"/>
      <c r="G270" s="174"/>
      <c r="H270" s="173"/>
      <c r="I270" s="173"/>
      <c r="J270" s="175"/>
      <c r="K270" s="172"/>
    </row>
    <row r="271" spans="1:11" ht="15">
      <c r="A271" s="172"/>
      <c r="B271" s="172"/>
      <c r="C271" s="173"/>
      <c r="D271" s="173"/>
      <c r="E271" s="174"/>
      <c r="F271" s="173"/>
      <c r="G271" s="174"/>
      <c r="H271" s="173"/>
      <c r="I271" s="173"/>
      <c r="J271" s="175"/>
      <c r="K271" s="172"/>
    </row>
    <row r="272" spans="1:11" ht="15">
      <c r="A272" s="172"/>
      <c r="B272" s="172"/>
      <c r="C272" s="173"/>
      <c r="D272" s="173"/>
      <c r="E272" s="174"/>
      <c r="F272" s="173"/>
      <c r="G272" s="174"/>
      <c r="H272" s="173"/>
      <c r="I272" s="173"/>
      <c r="J272" s="175"/>
      <c r="K272" s="172"/>
    </row>
    <row r="273" spans="1:11" ht="15">
      <c r="A273" s="172"/>
      <c r="B273" s="172"/>
      <c r="C273" s="173"/>
      <c r="D273" s="173"/>
      <c r="E273" s="174"/>
      <c r="F273" s="173"/>
      <c r="G273" s="174"/>
      <c r="H273" s="173"/>
      <c r="I273" s="173"/>
      <c r="J273" s="175"/>
      <c r="K273" s="172"/>
    </row>
  </sheetData>
  <sheetProtection/>
  <mergeCells count="9">
    <mergeCell ref="F23:J23"/>
    <mergeCell ref="G25:H25"/>
    <mergeCell ref="B85:G85"/>
    <mergeCell ref="F5:H5"/>
    <mergeCell ref="F7:J8"/>
    <mergeCell ref="F9:J10"/>
    <mergeCell ref="F11:J12"/>
    <mergeCell ref="F13:J14"/>
    <mergeCell ref="F15:J16"/>
  </mergeCells>
  <conditionalFormatting sqref="F11:J12">
    <cfRule type="cellIs" priority="4" dxfId="23" operator="lessThan" stopIfTrue="1">
      <formula>0</formula>
    </cfRule>
  </conditionalFormatting>
  <conditionalFormatting sqref="F13:J14">
    <cfRule type="cellIs" priority="3" dxfId="23" operator="lessThan" stopIfTrue="1">
      <formula>0</formula>
    </cfRule>
  </conditionalFormatting>
  <conditionalFormatting sqref="F15:J16">
    <cfRule type="cellIs" priority="2" dxfId="23" operator="lessThan" stopIfTrue="1">
      <formula>0</formula>
    </cfRule>
  </conditionalFormatting>
  <conditionalFormatting sqref="F9:J10">
    <cfRule type="cellIs" priority="1" dxfId="23" operator="lessThan" stopIfTrue="1">
      <formula>0</formula>
    </cfRule>
  </conditionalFormatting>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K273"/>
  <sheetViews>
    <sheetView zoomScalePageLayoutView="0" workbookViewId="0" topLeftCell="A1">
      <selection activeCell="C2" sqref="C2"/>
    </sheetView>
  </sheetViews>
  <sheetFormatPr defaultColWidth="11.421875" defaultRowHeight="15"/>
  <cols>
    <col min="1" max="1" width="3.57421875" style="157" customWidth="1"/>
    <col min="2" max="2" width="35.8515625" style="157" bestFit="1" customWidth="1"/>
    <col min="3" max="3" width="20.140625" style="139" customWidth="1"/>
    <col min="4" max="4" width="9.00390625" style="139" hidden="1" customWidth="1"/>
    <col min="5" max="5" width="12.57421875" style="158" customWidth="1"/>
    <col min="6" max="6" width="15.7109375" style="139" customWidth="1"/>
    <col min="7" max="7" width="14.00390625" style="158" bestFit="1" customWidth="1"/>
    <col min="8" max="8" width="16.00390625" style="139" customWidth="1"/>
    <col min="9" max="9" width="2.57421875" style="139" customWidth="1"/>
    <col min="10" max="10" width="14.57421875" style="159" customWidth="1"/>
    <col min="11" max="11" width="2.28125" style="157" customWidth="1"/>
    <col min="12" max="16384" width="11.421875" style="156" customWidth="1"/>
  </cols>
  <sheetData>
    <row r="1" spans="1:11" ht="15.75" thickBot="1">
      <c r="A1" s="165"/>
      <c r="B1" s="166"/>
      <c r="C1" s="167"/>
      <c r="D1" s="167"/>
      <c r="E1" s="168"/>
      <c r="F1" s="167"/>
      <c r="G1" s="168"/>
      <c r="H1" s="167"/>
      <c r="I1" s="165"/>
      <c r="J1" s="169"/>
      <c r="K1" s="165"/>
    </row>
    <row r="2" spans="1:11" ht="15.75" thickBot="1">
      <c r="A2" s="165"/>
      <c r="B2" s="170" t="s">
        <v>187</v>
      </c>
      <c r="C2" s="171">
        <f>('DEMANDE DE PERSONNEL'!O64+'DEMANDE DE PERSONNEL'!T64)*151.67</f>
        <v>2722.226210744395</v>
      </c>
      <c r="D2" s="167"/>
      <c r="E2" s="168"/>
      <c r="F2" s="167"/>
      <c r="G2" s="168"/>
      <c r="H2" s="167"/>
      <c r="I2" s="165"/>
      <c r="J2" s="169"/>
      <c r="K2" s="165"/>
    </row>
    <row r="3" spans="1:11" ht="15.75" thickBot="1">
      <c r="A3" s="172"/>
      <c r="B3" s="166"/>
      <c r="C3" s="173"/>
      <c r="D3" s="173"/>
      <c r="E3" s="174"/>
      <c r="F3" s="166"/>
      <c r="G3" s="174"/>
      <c r="H3" s="173"/>
      <c r="I3" s="173"/>
      <c r="J3" s="175"/>
      <c r="K3" s="172"/>
    </row>
    <row r="4" spans="1:11" ht="15">
      <c r="A4" s="172"/>
      <c r="B4" s="176" t="s">
        <v>95</v>
      </c>
      <c r="C4" s="177">
        <f>C2</f>
        <v>2722.226210744395</v>
      </c>
      <c r="D4" s="178"/>
      <c r="E4" s="174"/>
      <c r="F4" s="140"/>
      <c r="G4" s="141"/>
      <c r="H4" s="367" t="s">
        <v>233</v>
      </c>
      <c r="I4" s="173"/>
      <c r="J4" s="175"/>
      <c r="K4" s="172"/>
    </row>
    <row r="5" spans="1:11" ht="15">
      <c r="A5" s="172"/>
      <c r="B5" s="179" t="s">
        <v>96</v>
      </c>
      <c r="C5" s="180">
        <v>0</v>
      </c>
      <c r="D5" s="178"/>
      <c r="E5" s="155"/>
      <c r="F5" s="341"/>
      <c r="G5" s="341"/>
      <c r="H5" s="341"/>
      <c r="I5" s="173"/>
      <c r="J5" s="175"/>
      <c r="K5" s="172"/>
    </row>
    <row r="6" spans="1:11" ht="15">
      <c r="A6" s="172"/>
      <c r="B6" s="179" t="s">
        <v>97</v>
      </c>
      <c r="C6" s="181">
        <f>D11</f>
        <v>0</v>
      </c>
      <c r="D6" s="178"/>
      <c r="E6" s="174"/>
      <c r="F6" s="140"/>
      <c r="G6" s="142"/>
      <c r="H6" s="140"/>
      <c r="I6" s="173"/>
      <c r="J6" s="175"/>
      <c r="K6" s="172"/>
    </row>
    <row r="7" spans="1:11" ht="15">
      <c r="A7" s="172"/>
      <c r="B7" s="179" t="s">
        <v>98</v>
      </c>
      <c r="C7" s="273">
        <f>Brut_de_base_hors_TEPA2+C5+brut_TEPA2</f>
        <v>2722.226210744395</v>
      </c>
      <c r="D7" s="178"/>
      <c r="E7" s="174"/>
      <c r="F7" s="270"/>
      <c r="G7" s="271"/>
      <c r="H7" s="270"/>
      <c r="I7" s="270"/>
      <c r="J7" s="272"/>
      <c r="K7" s="172"/>
    </row>
    <row r="8" spans="1:11" ht="15">
      <c r="A8" s="172"/>
      <c r="B8" s="179" t="s">
        <v>99</v>
      </c>
      <c r="C8" s="182">
        <v>151.67</v>
      </c>
      <c r="D8" s="178"/>
      <c r="E8" s="174"/>
      <c r="F8" s="353" t="s">
        <v>183</v>
      </c>
      <c r="G8" s="357"/>
      <c r="H8" s="357"/>
      <c r="I8" s="357"/>
      <c r="J8" s="357"/>
      <c r="K8" s="172"/>
    </row>
    <row r="9" spans="1:11" ht="15">
      <c r="A9" s="172"/>
      <c r="B9" s="179" t="s">
        <v>100</v>
      </c>
      <c r="C9" s="182">
        <v>35</v>
      </c>
      <c r="D9" s="178"/>
      <c r="E9" s="174"/>
      <c r="F9" s="357"/>
      <c r="G9" s="357"/>
      <c r="H9" s="357"/>
      <c r="I9" s="357"/>
      <c r="J9" s="357"/>
      <c r="K9" s="172"/>
    </row>
    <row r="10" spans="1:11" ht="15">
      <c r="A10" s="172"/>
      <c r="B10" s="179" t="s">
        <v>101</v>
      </c>
      <c r="C10" s="182">
        <v>35</v>
      </c>
      <c r="D10" s="178"/>
      <c r="E10" s="174"/>
      <c r="F10" s="357"/>
      <c r="G10" s="357"/>
      <c r="H10" s="357"/>
      <c r="I10" s="357"/>
      <c r="J10" s="357"/>
      <c r="K10" s="172"/>
    </row>
    <row r="11" spans="1:11" ht="15">
      <c r="A11" s="172"/>
      <c r="B11" s="183" t="s">
        <v>102</v>
      </c>
      <c r="C11" s="182">
        <v>0</v>
      </c>
      <c r="D11" s="184">
        <f>(C11*125%)*(Brut_de_base_hors_TEPA2/C8)</f>
        <v>0</v>
      </c>
      <c r="E11" s="172"/>
      <c r="F11" s="358">
        <f>H87</f>
        <v>2114.64</v>
      </c>
      <c r="G11" s="359"/>
      <c r="H11" s="359"/>
      <c r="I11" s="359"/>
      <c r="J11" s="359"/>
      <c r="K11" s="172"/>
    </row>
    <row r="12" spans="1:11" ht="15">
      <c r="A12" s="172"/>
      <c r="B12" s="183" t="s">
        <v>103</v>
      </c>
      <c r="C12" s="182">
        <v>0</v>
      </c>
      <c r="D12" s="184">
        <f>(C12*150%)*(Brut_de_base_hors_TEPA2/C8)</f>
        <v>0</v>
      </c>
      <c r="E12" s="172"/>
      <c r="F12" s="359"/>
      <c r="G12" s="359"/>
      <c r="H12" s="359"/>
      <c r="I12" s="359"/>
      <c r="J12" s="359"/>
      <c r="K12" s="172"/>
    </row>
    <row r="13" spans="1:11" ht="15">
      <c r="A13" s="172"/>
      <c r="B13" s="185" t="s">
        <v>104</v>
      </c>
      <c r="C13" s="186" t="e">
        <f>IF((SUM(I28:I59)+Csg_rds_hres_sup2)/BRUT_TOTAL2&lt;0.215,(SUM(I28:I59)+Csg_rds_hres_sup2)/BRUT_TOTAL2,0.215)</f>
        <v>#REF!</v>
      </c>
      <c r="D13" s="187"/>
      <c r="E13" s="174"/>
      <c r="F13" s="359"/>
      <c r="G13" s="359"/>
      <c r="H13" s="359"/>
      <c r="I13" s="359"/>
      <c r="J13" s="359"/>
      <c r="K13" s="172"/>
    </row>
    <row r="14" spans="1:11" ht="15">
      <c r="A14" s="172"/>
      <c r="B14" s="185" t="s">
        <v>105</v>
      </c>
      <c r="C14" s="188" t="e">
        <f>IF(C13&lt;0.215,"vrai","faux")</f>
        <v>#REF!</v>
      </c>
      <c r="D14" s="189"/>
      <c r="E14" s="174"/>
      <c r="F14" s="270"/>
      <c r="G14" s="271"/>
      <c r="H14" s="270"/>
      <c r="I14" s="270"/>
      <c r="J14" s="272"/>
      <c r="K14" s="172"/>
    </row>
    <row r="15" spans="1:11" ht="15">
      <c r="A15" s="172"/>
      <c r="B15" s="185" t="s">
        <v>106</v>
      </c>
      <c r="C15" s="190" t="e">
        <f>brut_TEPA2*C13</f>
        <v>#REF!</v>
      </c>
      <c r="D15" s="189"/>
      <c r="E15" s="174"/>
      <c r="F15" s="173"/>
      <c r="G15" s="174"/>
      <c r="H15" s="173"/>
      <c r="I15" s="173"/>
      <c r="J15" s="175"/>
      <c r="K15" s="172"/>
    </row>
    <row r="16" spans="1:11" ht="15">
      <c r="A16" s="172"/>
      <c r="B16" s="183" t="s">
        <v>107</v>
      </c>
      <c r="C16" s="191">
        <f>IF(C17&gt;0,C17,PMSS2*Nb_d_h_rémunérées_2/151.67)</f>
        <v>2859</v>
      </c>
      <c r="D16" s="189"/>
      <c r="E16" s="172"/>
      <c r="F16" s="173"/>
      <c r="G16" s="174"/>
      <c r="H16" s="173"/>
      <c r="I16" s="173"/>
      <c r="J16" s="175"/>
      <c r="K16" s="172"/>
    </row>
    <row r="17" spans="1:11" ht="15">
      <c r="A17" s="172"/>
      <c r="B17" s="183" t="s">
        <v>108</v>
      </c>
      <c r="C17" s="180"/>
      <c r="D17" s="189"/>
      <c r="E17" s="192"/>
      <c r="F17" s="173"/>
      <c r="G17" s="174"/>
      <c r="H17" s="173"/>
      <c r="I17" s="173"/>
      <c r="J17" s="175"/>
      <c r="K17" s="172"/>
    </row>
    <row r="18" spans="1:11" ht="15">
      <c r="A18" s="172"/>
      <c r="B18" s="179" t="s">
        <v>109</v>
      </c>
      <c r="C18" s="180">
        <v>2859</v>
      </c>
      <c r="D18" s="178"/>
      <c r="E18" s="174"/>
      <c r="F18" s="173"/>
      <c r="G18" s="174"/>
      <c r="H18" s="173"/>
      <c r="I18" s="173"/>
      <c r="J18" s="175"/>
      <c r="K18" s="172"/>
    </row>
    <row r="19" spans="1:11" ht="15">
      <c r="A19" s="172"/>
      <c r="B19" s="179" t="s">
        <v>110</v>
      </c>
      <c r="C19" s="180">
        <v>290.17</v>
      </c>
      <c r="D19" s="178"/>
      <c r="E19" s="174"/>
      <c r="F19" s="173"/>
      <c r="G19" s="174"/>
      <c r="H19" s="173"/>
      <c r="I19" s="140"/>
      <c r="J19" s="175"/>
      <c r="K19" s="172"/>
    </row>
    <row r="20" spans="1:11" ht="15">
      <c r="A20" s="172"/>
      <c r="B20" s="179" t="s">
        <v>111</v>
      </c>
      <c r="C20" s="180">
        <v>9.61</v>
      </c>
      <c r="D20" s="178"/>
      <c r="E20" s="174"/>
      <c r="F20" s="173"/>
      <c r="G20" s="174"/>
      <c r="H20" s="173"/>
      <c r="I20" s="140"/>
      <c r="J20" s="175"/>
      <c r="K20" s="172"/>
    </row>
    <row r="21" spans="1:11" ht="15">
      <c r="A21" s="172"/>
      <c r="B21" s="179" t="s">
        <v>112</v>
      </c>
      <c r="C21" s="193"/>
      <c r="D21" s="194" t="b">
        <v>0</v>
      </c>
      <c r="E21" s="174"/>
      <c r="F21" s="173"/>
      <c r="G21" s="174"/>
      <c r="H21" s="173"/>
      <c r="I21" s="140"/>
      <c r="J21" s="175"/>
      <c r="K21" s="172"/>
    </row>
    <row r="22" spans="1:11" ht="15">
      <c r="A22" s="172"/>
      <c r="B22" s="179" t="s">
        <v>113</v>
      </c>
      <c r="C22" s="195"/>
      <c r="D22" s="194" t="b">
        <v>0</v>
      </c>
      <c r="E22" s="174"/>
      <c r="F22" s="173"/>
      <c r="G22" s="174"/>
      <c r="H22" s="196"/>
      <c r="I22" s="140"/>
      <c r="J22" s="175"/>
      <c r="K22" s="172"/>
    </row>
    <row r="23" spans="1:11" ht="15.75" thickBot="1">
      <c r="A23" s="172"/>
      <c r="B23" s="197" t="s">
        <v>114</v>
      </c>
      <c r="C23" s="198"/>
      <c r="D23" s="199" t="b">
        <v>1</v>
      </c>
      <c r="E23" s="174"/>
      <c r="F23" s="348" t="s">
        <v>184</v>
      </c>
      <c r="G23" s="348"/>
      <c r="H23" s="348"/>
      <c r="I23" s="348"/>
      <c r="J23" s="348"/>
      <c r="K23" s="172"/>
    </row>
    <row r="24" spans="1:11" ht="15">
      <c r="A24" s="172"/>
      <c r="B24" s="172"/>
      <c r="C24" s="200"/>
      <c r="D24" s="200"/>
      <c r="E24" s="174"/>
      <c r="F24" s="173"/>
      <c r="G24" s="174"/>
      <c r="H24" s="173"/>
      <c r="I24" s="173"/>
      <c r="J24" s="175"/>
      <c r="K24" s="172"/>
    </row>
    <row r="25" spans="1:11" ht="15">
      <c r="A25" s="172"/>
      <c r="B25" s="160" t="s">
        <v>115</v>
      </c>
      <c r="C25" s="161" t="s">
        <v>116</v>
      </c>
      <c r="D25" s="161"/>
      <c r="E25" s="162" t="s">
        <v>117</v>
      </c>
      <c r="F25" s="161" t="s">
        <v>118</v>
      </c>
      <c r="G25" s="349" t="s">
        <v>119</v>
      </c>
      <c r="H25" s="350"/>
      <c r="I25" s="201"/>
      <c r="J25" s="269" t="s">
        <v>120</v>
      </c>
      <c r="K25" s="172"/>
    </row>
    <row r="26" spans="1:11" ht="15">
      <c r="A26" s="172"/>
      <c r="B26" s="202"/>
      <c r="C26" s="143"/>
      <c r="D26" s="203"/>
      <c r="E26" s="204"/>
      <c r="F26" s="143"/>
      <c r="G26" s="204"/>
      <c r="H26" s="144"/>
      <c r="I26" s="205"/>
      <c r="J26" s="206"/>
      <c r="K26" s="172"/>
    </row>
    <row r="27" spans="1:11" ht="15">
      <c r="A27" s="172"/>
      <c r="B27" s="163" t="s">
        <v>121</v>
      </c>
      <c r="C27" s="143"/>
      <c r="D27" s="203"/>
      <c r="E27" s="208"/>
      <c r="F27" s="143"/>
      <c r="G27" s="204"/>
      <c r="H27" s="144"/>
      <c r="I27" s="205"/>
      <c r="J27" s="206"/>
      <c r="K27" s="172"/>
    </row>
    <row r="28" spans="1:11" ht="15">
      <c r="A28" s="172"/>
      <c r="B28" s="202" t="s">
        <v>122</v>
      </c>
      <c r="C28" s="143">
        <f>BRUT_TOTAL2</f>
        <v>2722.226210744395</v>
      </c>
      <c r="D28" s="203"/>
      <c r="E28" s="209">
        <v>0.0075</v>
      </c>
      <c r="F28" s="143">
        <f>ROUNDDOWN($C28*E28,2)</f>
        <v>20.41</v>
      </c>
      <c r="G28" s="210">
        <v>0.128</v>
      </c>
      <c r="H28" s="144">
        <f aca="true" t="shared" si="0" ref="H28:H54">ROUNDDOWN($C28*G28,2)</f>
        <v>348.44</v>
      </c>
      <c r="I28" s="205">
        <f>F28</f>
        <v>20.41</v>
      </c>
      <c r="J28" s="206">
        <f aca="true" t="shared" si="1" ref="J28:J38">E28+G28</f>
        <v>0.1355</v>
      </c>
      <c r="K28" s="172"/>
    </row>
    <row r="29" spans="1:11" ht="15">
      <c r="A29" s="172"/>
      <c r="B29" s="202" t="s">
        <v>123</v>
      </c>
      <c r="C29" s="143">
        <f>BRUT_TOTAL2</f>
        <v>2722.226210744395</v>
      </c>
      <c r="D29" s="203"/>
      <c r="E29" s="211"/>
      <c r="F29" s="143"/>
      <c r="G29" s="210">
        <v>0.003</v>
      </c>
      <c r="H29" s="144">
        <f t="shared" si="0"/>
        <v>8.16</v>
      </c>
      <c r="I29" s="205">
        <f aca="true" t="shared" si="2" ref="I29:I59">F29</f>
        <v>0</v>
      </c>
      <c r="J29" s="206">
        <f t="shared" si="1"/>
        <v>0.003</v>
      </c>
      <c r="K29" s="172"/>
    </row>
    <row r="30" spans="1:11" ht="15">
      <c r="A30" s="172"/>
      <c r="B30" s="202" t="s">
        <v>124</v>
      </c>
      <c r="C30" s="143">
        <f>IF(BRUT_TOTAL2&gt;Plafond_de_passage2,Plafond_de_passage2,BRUT_TOTAL2)</f>
        <v>2722.226210744395</v>
      </c>
      <c r="D30" s="203"/>
      <c r="E30" s="209">
        <v>0.0665</v>
      </c>
      <c r="F30" s="143">
        <f>ROUNDDOWN($C30*E30,2)</f>
        <v>181.02</v>
      </c>
      <c r="G30" s="210">
        <v>0.083</v>
      </c>
      <c r="H30" s="144">
        <f t="shared" si="0"/>
        <v>225.94</v>
      </c>
      <c r="I30" s="205">
        <f t="shared" si="2"/>
        <v>181.02</v>
      </c>
      <c r="J30" s="206">
        <f t="shared" si="1"/>
        <v>0.14950000000000002</v>
      </c>
      <c r="K30" s="172"/>
    </row>
    <row r="31" spans="1:11" ht="15">
      <c r="A31" s="172"/>
      <c r="B31" s="202" t="s">
        <v>125</v>
      </c>
      <c r="C31" s="143">
        <f>BRUT_TOTAL2</f>
        <v>2722.226210744395</v>
      </c>
      <c r="D31" s="203"/>
      <c r="E31" s="209">
        <v>0.001</v>
      </c>
      <c r="F31" s="143">
        <f>ROUNDDOWN($C31*E31,2)</f>
        <v>2.72</v>
      </c>
      <c r="G31" s="210">
        <v>0.016</v>
      </c>
      <c r="H31" s="144">
        <f t="shared" si="0"/>
        <v>43.55</v>
      </c>
      <c r="I31" s="205">
        <f t="shared" si="2"/>
        <v>2.72</v>
      </c>
      <c r="J31" s="206">
        <f t="shared" si="1"/>
        <v>0.017</v>
      </c>
      <c r="K31" s="172"/>
    </row>
    <row r="32" spans="1:11" ht="15">
      <c r="A32" s="172"/>
      <c r="B32" s="202" t="s">
        <v>126</v>
      </c>
      <c r="C32" s="143">
        <f>BRUT_TOTAL2</f>
        <v>2722.226210744395</v>
      </c>
      <c r="D32" s="203"/>
      <c r="E32" s="211"/>
      <c r="F32" s="143"/>
      <c r="G32" s="210">
        <v>0.054</v>
      </c>
      <c r="H32" s="144">
        <f t="shared" si="0"/>
        <v>147</v>
      </c>
      <c r="I32" s="205">
        <f t="shared" si="2"/>
        <v>0</v>
      </c>
      <c r="J32" s="206">
        <f t="shared" si="1"/>
        <v>0.054</v>
      </c>
      <c r="K32" s="172"/>
    </row>
    <row r="33" spans="1:11" ht="15">
      <c r="A33" s="172"/>
      <c r="B33" s="202" t="s">
        <v>127</v>
      </c>
      <c r="C33" s="143">
        <f>BRUT_TOTAL2</f>
        <v>2722.226210744395</v>
      </c>
      <c r="D33" s="203"/>
      <c r="E33" s="211"/>
      <c r="F33" s="143"/>
      <c r="G33" s="212">
        <v>0.014</v>
      </c>
      <c r="H33" s="144">
        <f t="shared" si="0"/>
        <v>38.11</v>
      </c>
      <c r="I33" s="205">
        <f t="shared" si="2"/>
        <v>0</v>
      </c>
      <c r="J33" s="206">
        <f t="shared" si="1"/>
        <v>0.014</v>
      </c>
      <c r="K33" s="172"/>
    </row>
    <row r="34" spans="1:11" ht="15">
      <c r="A34" s="172"/>
      <c r="B34" s="202" t="s">
        <v>128</v>
      </c>
      <c r="C34" s="143">
        <f>C30</f>
        <v>2722.226210744395</v>
      </c>
      <c r="D34" s="203"/>
      <c r="E34" s="211"/>
      <c r="F34" s="143"/>
      <c r="G34" s="210">
        <v>0.001</v>
      </c>
      <c r="H34" s="144">
        <f t="shared" si="0"/>
        <v>2.72</v>
      </c>
      <c r="I34" s="205">
        <f t="shared" si="2"/>
        <v>0</v>
      </c>
      <c r="J34" s="206">
        <f t="shared" si="1"/>
        <v>0.001</v>
      </c>
      <c r="K34" s="172"/>
    </row>
    <row r="35" spans="1:11" ht="15">
      <c r="A35" s="213"/>
      <c r="B35" s="202" t="s">
        <v>129</v>
      </c>
      <c r="C35" s="143">
        <f>IF(D22,BRUT_TOTAL2,0)</f>
        <v>0</v>
      </c>
      <c r="D35" s="203"/>
      <c r="E35" s="211"/>
      <c r="F35" s="143"/>
      <c r="G35" s="208">
        <v>0.004</v>
      </c>
      <c r="H35" s="144">
        <f t="shared" si="0"/>
        <v>0</v>
      </c>
      <c r="I35" s="205">
        <f t="shared" si="2"/>
        <v>0</v>
      </c>
      <c r="J35" s="206">
        <f t="shared" si="1"/>
        <v>0.004</v>
      </c>
      <c r="K35" s="172"/>
    </row>
    <row r="36" spans="1:11" ht="15">
      <c r="A36" s="213" t="b">
        <v>0</v>
      </c>
      <c r="B36" s="202" t="s">
        <v>130</v>
      </c>
      <c r="C36" s="143">
        <f>IF(A36,BRUT_TOTAL2,0)</f>
        <v>0</v>
      </c>
      <c r="D36" s="203"/>
      <c r="E36" s="211"/>
      <c r="F36" s="143"/>
      <c r="G36" s="214">
        <v>0.026</v>
      </c>
      <c r="H36" s="144">
        <f t="shared" si="0"/>
        <v>0</v>
      </c>
      <c r="I36" s="205">
        <f t="shared" si="2"/>
        <v>0</v>
      </c>
      <c r="J36" s="206">
        <f t="shared" si="1"/>
        <v>0.026</v>
      </c>
      <c r="K36" s="172"/>
    </row>
    <row r="37" spans="1:11" ht="15">
      <c r="A37" s="172"/>
      <c r="B37" s="202" t="s">
        <v>131</v>
      </c>
      <c r="C37" s="143"/>
      <c r="D37" s="203"/>
      <c r="E37" s="211"/>
      <c r="F37" s="143"/>
      <c r="G37" s="208"/>
      <c r="H37" s="144">
        <f>IF(C21,-(BRUT_TOTAL2)*H108,-(BRUT_TOTAL2)*G108)</f>
        <v>0</v>
      </c>
      <c r="I37" s="205">
        <f t="shared" si="2"/>
        <v>0</v>
      </c>
      <c r="J37" s="206"/>
      <c r="K37" s="172"/>
    </row>
    <row r="38" spans="1:11" ht="15">
      <c r="A38" s="213" t="b">
        <v>0</v>
      </c>
      <c r="B38" s="202" t="s">
        <v>132</v>
      </c>
      <c r="C38" s="143">
        <f>IF(A38,BRUT_TOTAL2,0)</f>
        <v>0</v>
      </c>
      <c r="D38" s="203"/>
      <c r="E38" s="211"/>
      <c r="F38" s="143"/>
      <c r="G38" s="208">
        <v>0.0045</v>
      </c>
      <c r="H38" s="144">
        <f>ROUNDDOWN($C38*G38,2)</f>
        <v>0</v>
      </c>
      <c r="I38" s="205">
        <f t="shared" si="2"/>
        <v>0</v>
      </c>
      <c r="J38" s="206">
        <f t="shared" si="1"/>
        <v>0.0045</v>
      </c>
      <c r="K38" s="172"/>
    </row>
    <row r="39" spans="1:11" ht="15">
      <c r="A39" s="172"/>
      <c r="B39" s="202" t="s">
        <v>133</v>
      </c>
      <c r="C39" s="143"/>
      <c r="D39" s="203"/>
      <c r="E39" s="211"/>
      <c r="F39" s="143"/>
      <c r="G39" s="208"/>
      <c r="H39" s="144"/>
      <c r="I39" s="205">
        <f t="shared" si="2"/>
        <v>0</v>
      </c>
      <c r="J39" s="206"/>
      <c r="K39" s="172"/>
    </row>
    <row r="40" spans="1:11" ht="15">
      <c r="A40" s="172"/>
      <c r="B40" s="202" t="s">
        <v>134</v>
      </c>
      <c r="C40" s="143">
        <f>IF(BRUT_TOTAL2&gt;Plafond_de_passage2,Plafond_de_passage2,BRUT_TOTAL2)</f>
        <v>2722.226210744395</v>
      </c>
      <c r="D40" s="203"/>
      <c r="E40" s="211">
        <v>0.024</v>
      </c>
      <c r="F40" s="143">
        <f>ROUNDDOWN($C40*E40,2)</f>
        <v>65.33</v>
      </c>
      <c r="G40" s="208">
        <v>0.04</v>
      </c>
      <c r="H40" s="144">
        <f t="shared" si="0"/>
        <v>108.88</v>
      </c>
      <c r="I40" s="205">
        <f t="shared" si="2"/>
        <v>65.33</v>
      </c>
      <c r="J40" s="206">
        <f>E40+G40</f>
        <v>0.064</v>
      </c>
      <c r="K40" s="172"/>
    </row>
    <row r="41" spans="1:11" ht="15">
      <c r="A41" s="172"/>
      <c r="B41" s="202" t="s">
        <v>135</v>
      </c>
      <c r="C41" s="143">
        <f>IF(IF(BRUT_TOTAL2-Plafond_de_passage2&gt;Plafond_de_passage2*4,Plafond_de_passage2*4-C40,BRUT_TOTAL2-Plafond_de_passage2)&lt;0,0,IF(BRUT_TOTAL2-Plafond_de_passage2&gt;Plafond_de_passage2*4,Plafond_de_passage2*4-C40,BRUT_TOTAL2-Plafond_de_passage2))</f>
        <v>0</v>
      </c>
      <c r="D41" s="203"/>
      <c r="E41" s="211">
        <v>0.024</v>
      </c>
      <c r="F41" s="143">
        <f>ROUNDDOWN($C41*E41,2)</f>
        <v>0</v>
      </c>
      <c r="G41" s="208">
        <v>0.04</v>
      </c>
      <c r="H41" s="144">
        <f t="shared" si="0"/>
        <v>0</v>
      </c>
      <c r="I41" s="205">
        <f t="shared" si="2"/>
        <v>0</v>
      </c>
      <c r="J41" s="206">
        <f>E41+G41</f>
        <v>0.064</v>
      </c>
      <c r="K41" s="172"/>
    </row>
    <row r="42" spans="1:11" ht="15">
      <c r="A42" s="172"/>
      <c r="B42" s="202" t="s">
        <v>136</v>
      </c>
      <c r="C42" s="143">
        <f>C40+C41</f>
        <v>2722.226210744395</v>
      </c>
      <c r="D42" s="203"/>
      <c r="E42" s="211"/>
      <c r="F42" s="143"/>
      <c r="G42" s="208">
        <v>0.003</v>
      </c>
      <c r="H42" s="144">
        <f t="shared" si="0"/>
        <v>8.16</v>
      </c>
      <c r="I42" s="205">
        <f t="shared" si="2"/>
        <v>0</v>
      </c>
      <c r="J42" s="206">
        <f>E42+G42</f>
        <v>0.003</v>
      </c>
      <c r="K42" s="172"/>
    </row>
    <row r="43" spans="1:11" ht="15">
      <c r="A43" s="172"/>
      <c r="B43" s="163" t="s">
        <v>137</v>
      </c>
      <c r="C43" s="143"/>
      <c r="D43" s="203"/>
      <c r="E43" s="211"/>
      <c r="F43" s="143"/>
      <c r="G43" s="208"/>
      <c r="H43" s="144"/>
      <c r="I43" s="205">
        <f t="shared" si="2"/>
        <v>0</v>
      </c>
      <c r="J43" s="206"/>
      <c r="K43" s="172"/>
    </row>
    <row r="44" spans="1:11" ht="15">
      <c r="A44" s="172"/>
      <c r="B44" s="202" t="s">
        <v>138</v>
      </c>
      <c r="C44" s="143">
        <f>C30</f>
        <v>2722.226210744395</v>
      </c>
      <c r="D44" s="203"/>
      <c r="E44" s="211">
        <v>0.03</v>
      </c>
      <c r="F44" s="143">
        <f aca="true" t="shared" si="3" ref="F44:F54">ROUNDDOWN($C44*E44,2)</f>
        <v>81.66</v>
      </c>
      <c r="G44" s="208">
        <v>0.045</v>
      </c>
      <c r="H44" s="144">
        <f t="shared" si="0"/>
        <v>122.5</v>
      </c>
      <c r="I44" s="205">
        <f t="shared" si="2"/>
        <v>81.66</v>
      </c>
      <c r="J44" s="206">
        <f>E44+G44</f>
        <v>0.075</v>
      </c>
      <c r="K44" s="172"/>
    </row>
    <row r="45" spans="1:11" ht="15">
      <c r="A45" s="172"/>
      <c r="B45" s="202" t="s">
        <v>139</v>
      </c>
      <c r="C45" s="143">
        <f>IF(IF(NOT(C23),IF(BRUT_TOTAL2&gt;Plafond_de_passage2*3,Plafond_de_passage2*3-Plafond_de_passage2,BRUT_TOTAL2-Plafond_de_passage2),IF(BRUT_TOTAL2&gt;Plafond_de_passage2*4,Plafond_de_passage2*4-Plafond_de_passage2,BRUT_TOTAL2-Plafond_de_passage2))&lt;0,0,IF(NOT(C23),IF(BRUT_TOTAL2&gt;Plafond_de_passage2*3,Plafond_de_passage2*3-Plafond_de_passage2,BRUT_TOTAL2-Plafond_de_passage2),IF(BRUT_TOTAL2&gt;Plafond_de_passage2*4,Plafond_de_passage2*4-Plafond_de_passage2,BRUT_TOTAL2-Plafond_de_passage2)))</f>
        <v>0</v>
      </c>
      <c r="D45" s="203"/>
      <c r="E45" s="211">
        <f>IF($C$23,7.7%,8%)</f>
        <v>0.08</v>
      </c>
      <c r="F45" s="143">
        <f t="shared" si="3"/>
        <v>0</v>
      </c>
      <c r="G45" s="211">
        <f>IF($C$23,12.6%,12%)</f>
        <v>0.12</v>
      </c>
      <c r="H45" s="144">
        <f t="shared" si="0"/>
        <v>0</v>
      </c>
      <c r="I45" s="205">
        <f t="shared" si="2"/>
        <v>0</v>
      </c>
      <c r="J45" s="206">
        <f>E45+G45</f>
        <v>0.2</v>
      </c>
      <c r="K45" s="172"/>
    </row>
    <row r="46" spans="1:11" ht="15">
      <c r="A46" s="172"/>
      <c r="B46" s="202" t="s">
        <v>140</v>
      </c>
      <c r="C46" s="143">
        <f>C41</f>
        <v>0</v>
      </c>
      <c r="D46" s="203"/>
      <c r="E46" s="215">
        <f>IF($C$23,0.00024,0)</f>
        <v>0</v>
      </c>
      <c r="F46" s="143">
        <f t="shared" si="3"/>
        <v>0</v>
      </c>
      <c r="G46" s="215">
        <f>IF($C$23,0.00036,0)</f>
        <v>0</v>
      </c>
      <c r="H46" s="144">
        <f t="shared" si="0"/>
        <v>0</v>
      </c>
      <c r="I46" s="205">
        <f t="shared" si="2"/>
        <v>0</v>
      </c>
      <c r="J46" s="206">
        <f>E46+G46</f>
        <v>0</v>
      </c>
      <c r="K46" s="172"/>
    </row>
    <row r="47" spans="1:11" ht="15">
      <c r="A47" s="213" t="b">
        <v>0</v>
      </c>
      <c r="B47" s="202" t="s">
        <v>141</v>
      </c>
      <c r="C47" s="143"/>
      <c r="D47" s="203"/>
      <c r="E47" s="211"/>
      <c r="F47" s="143">
        <f>IF(AND($D$23,$A$47),7.72,0)</f>
        <v>0</v>
      </c>
      <c r="G47" s="208"/>
      <c r="H47" s="144">
        <f>IF(AND($D$23,$A$47),11.59,0)</f>
        <v>0</v>
      </c>
      <c r="I47" s="205">
        <f t="shared" si="2"/>
        <v>0</v>
      </c>
      <c r="J47" s="206"/>
      <c r="K47" s="172"/>
    </row>
    <row r="48" spans="1:11" ht="15">
      <c r="A48" s="172"/>
      <c r="B48" s="202" t="s">
        <v>142</v>
      </c>
      <c r="C48" s="143">
        <f>IF(BRUT_TOTAL2&gt;Plafond_de_passage2*8,Plafond_de_passage2*8,BRUT_TOTAL2)</f>
        <v>2722.226210744395</v>
      </c>
      <c r="D48" s="203"/>
      <c r="E48" s="211">
        <f>IF($C$23,0.0013,0)</f>
        <v>0</v>
      </c>
      <c r="F48" s="143">
        <f t="shared" si="3"/>
        <v>0</v>
      </c>
      <c r="G48" s="208">
        <f>IF($C$23,0.0022,0)</f>
        <v>0</v>
      </c>
      <c r="H48" s="144">
        <f t="shared" si="0"/>
        <v>0</v>
      </c>
      <c r="I48" s="205">
        <f t="shared" si="2"/>
        <v>0</v>
      </c>
      <c r="J48" s="206">
        <f>E48+G48</f>
        <v>0</v>
      </c>
      <c r="K48" s="172"/>
    </row>
    <row r="49" spans="1:11" ht="15">
      <c r="A49" s="172"/>
      <c r="B49" s="202" t="s">
        <v>143</v>
      </c>
      <c r="C49" s="143">
        <f>C30</f>
        <v>2722.226210744395</v>
      </c>
      <c r="D49" s="203"/>
      <c r="E49" s="211">
        <v>0.008</v>
      </c>
      <c r="F49" s="143">
        <f t="shared" si="3"/>
        <v>21.77</v>
      </c>
      <c r="G49" s="208">
        <v>0.012</v>
      </c>
      <c r="H49" s="144">
        <f t="shared" si="0"/>
        <v>32.66</v>
      </c>
      <c r="I49" s="205">
        <f t="shared" si="2"/>
        <v>21.77</v>
      </c>
      <c r="J49" s="206">
        <f>E49+G49</f>
        <v>0.02</v>
      </c>
      <c r="K49" s="172"/>
    </row>
    <row r="50" spans="1:11" ht="15">
      <c r="A50" s="172"/>
      <c r="B50" s="202" t="s">
        <v>144</v>
      </c>
      <c r="C50" s="143">
        <f>C41</f>
        <v>0</v>
      </c>
      <c r="D50" s="203"/>
      <c r="E50" s="211">
        <v>0.009</v>
      </c>
      <c r="F50" s="143">
        <f t="shared" si="3"/>
        <v>0</v>
      </c>
      <c r="G50" s="208">
        <v>0.013</v>
      </c>
      <c r="H50" s="144">
        <f t="shared" si="0"/>
        <v>0</v>
      </c>
      <c r="I50" s="205">
        <f t="shared" si="2"/>
        <v>0</v>
      </c>
      <c r="J50" s="206">
        <f>E50+G50</f>
        <v>0.022</v>
      </c>
      <c r="K50" s="172"/>
    </row>
    <row r="51" spans="1:11" ht="15">
      <c r="A51" s="172"/>
      <c r="B51" s="163" t="s">
        <v>145</v>
      </c>
      <c r="C51" s="143"/>
      <c r="D51" s="203"/>
      <c r="E51" s="211"/>
      <c r="F51" s="143"/>
      <c r="G51" s="208"/>
      <c r="H51" s="144"/>
      <c r="I51" s="205">
        <f t="shared" si="2"/>
        <v>0</v>
      </c>
      <c r="J51" s="206"/>
      <c r="K51" s="172"/>
    </row>
    <row r="52" spans="1:11" ht="15">
      <c r="A52" s="213" t="b">
        <v>0</v>
      </c>
      <c r="B52" s="202" t="s">
        <v>146</v>
      </c>
      <c r="C52" s="143">
        <f>IF(C23,0,Plafond_de_passage2)</f>
        <v>2859</v>
      </c>
      <c r="D52" s="203"/>
      <c r="E52" s="215">
        <v>0.0082</v>
      </c>
      <c r="F52" s="143">
        <f t="shared" si="3"/>
        <v>23.44</v>
      </c>
      <c r="G52" s="215">
        <v>0</v>
      </c>
      <c r="H52" s="144">
        <f t="shared" si="0"/>
        <v>0</v>
      </c>
      <c r="I52" s="205">
        <f t="shared" si="2"/>
        <v>23.44</v>
      </c>
      <c r="J52" s="206">
        <f>E52+G52</f>
        <v>0.0082</v>
      </c>
      <c r="K52" s="172"/>
    </row>
    <row r="53" spans="1:11" ht="15">
      <c r="A53" s="172"/>
      <c r="B53" s="202" t="s">
        <v>147</v>
      </c>
      <c r="C53" s="143">
        <f>IF(C23,C30,0)</f>
        <v>0</v>
      </c>
      <c r="D53" s="203"/>
      <c r="E53" s="215">
        <v>0.00805</v>
      </c>
      <c r="F53" s="143">
        <f t="shared" si="3"/>
        <v>0</v>
      </c>
      <c r="G53" s="215">
        <v>0.00805</v>
      </c>
      <c r="H53" s="144">
        <f t="shared" si="0"/>
        <v>0</v>
      </c>
      <c r="I53" s="205">
        <f t="shared" si="2"/>
        <v>0</v>
      </c>
      <c r="J53" s="206">
        <f>E53+G53</f>
        <v>0.0161</v>
      </c>
      <c r="K53" s="172"/>
    </row>
    <row r="54" spans="1:11" ht="15">
      <c r="A54" s="172"/>
      <c r="B54" s="202" t="s">
        <v>148</v>
      </c>
      <c r="C54" s="143">
        <f>C41</f>
        <v>0</v>
      </c>
      <c r="D54" s="203"/>
      <c r="E54" s="215">
        <v>0.0082</v>
      </c>
      <c r="F54" s="143">
        <f t="shared" si="3"/>
        <v>0</v>
      </c>
      <c r="G54" s="215">
        <v>0.0134</v>
      </c>
      <c r="H54" s="144">
        <f t="shared" si="0"/>
        <v>0</v>
      </c>
      <c r="I54" s="205">
        <f t="shared" si="2"/>
        <v>0</v>
      </c>
      <c r="J54" s="206">
        <f>E54+G54</f>
        <v>0.0216</v>
      </c>
      <c r="K54" s="172"/>
    </row>
    <row r="55" spans="1:11" ht="15">
      <c r="A55" s="172"/>
      <c r="B55" s="216" t="s">
        <v>149</v>
      </c>
      <c r="C55" s="143"/>
      <c r="D55" s="203"/>
      <c r="E55" s="211"/>
      <c r="F55" s="145">
        <v>0</v>
      </c>
      <c r="G55" s="208"/>
      <c r="H55" s="146">
        <v>0</v>
      </c>
      <c r="I55" s="205">
        <f t="shared" si="2"/>
        <v>0</v>
      </c>
      <c r="J55" s="206"/>
      <c r="K55" s="172"/>
    </row>
    <row r="56" spans="1:11" ht="15">
      <c r="A56" s="172"/>
      <c r="B56" s="163" t="s">
        <v>150</v>
      </c>
      <c r="C56" s="147"/>
      <c r="D56" s="217"/>
      <c r="E56" s="218"/>
      <c r="F56" s="147"/>
      <c r="G56" s="208"/>
      <c r="H56" s="144"/>
      <c r="I56" s="205">
        <f t="shared" si="2"/>
        <v>0</v>
      </c>
      <c r="J56" s="206"/>
      <c r="K56" s="172"/>
    </row>
    <row r="57" spans="1:11" ht="15">
      <c r="A57" s="172"/>
      <c r="B57" s="202" t="s">
        <v>151</v>
      </c>
      <c r="C57" s="143">
        <f>(Brut_de_base_hors_TEPA2+C5+H52+H53+H54+H55)*97%</f>
        <v>2640.559424422063</v>
      </c>
      <c r="D57" s="203"/>
      <c r="E57" s="211">
        <v>0.051</v>
      </c>
      <c r="F57" s="143">
        <f>ROUNDDOWN($C57*E57,2)</f>
        <v>134.66</v>
      </c>
      <c r="G57" s="211"/>
      <c r="H57" s="144"/>
      <c r="I57" s="205">
        <f t="shared" si="2"/>
        <v>134.66</v>
      </c>
      <c r="J57" s="206">
        <f>E57+G57</f>
        <v>0.051</v>
      </c>
      <c r="K57" s="172"/>
    </row>
    <row r="58" spans="1:11" ht="15">
      <c r="A58" s="172"/>
      <c r="B58" s="202" t="s">
        <v>152</v>
      </c>
      <c r="C58" s="143">
        <f>(brut_TEPA2)*97%</f>
        <v>0</v>
      </c>
      <c r="D58" s="203"/>
      <c r="E58" s="211">
        <v>0.08</v>
      </c>
      <c r="F58" s="143">
        <f>ROUNDDOWN($C58*E58,2)</f>
        <v>0</v>
      </c>
      <c r="G58" s="211"/>
      <c r="H58" s="144"/>
      <c r="I58" s="205">
        <f t="shared" si="2"/>
        <v>0</v>
      </c>
      <c r="J58" s="206">
        <f>E58+G58</f>
        <v>0.08</v>
      </c>
      <c r="K58" s="172"/>
    </row>
    <row r="59" spans="1:11" ht="15">
      <c r="A59" s="172"/>
      <c r="B59" s="202" t="s">
        <v>153</v>
      </c>
      <c r="C59" s="143">
        <f>C11+C12</f>
        <v>0</v>
      </c>
      <c r="D59" s="203"/>
      <c r="E59" s="211"/>
      <c r="F59" s="143"/>
      <c r="G59" s="219">
        <f>IF(C22,0.5,1.5)</f>
        <v>1.5</v>
      </c>
      <c r="H59" s="144">
        <f>-C59*G59</f>
        <v>0</v>
      </c>
      <c r="I59" s="205">
        <f t="shared" si="2"/>
        <v>0</v>
      </c>
      <c r="J59" s="206"/>
      <c r="K59" s="172"/>
    </row>
    <row r="60" spans="1:11" ht="15">
      <c r="A60" s="172"/>
      <c r="B60" s="202" t="s">
        <v>154</v>
      </c>
      <c r="C60" s="143">
        <f>brut_TEPA2</f>
        <v>0</v>
      </c>
      <c r="D60" s="203"/>
      <c r="E60" s="220">
        <f>0.27</f>
        <v>0.27</v>
      </c>
      <c r="F60" s="143">
        <f>-C60*E60</f>
        <v>0</v>
      </c>
      <c r="G60" s="221"/>
      <c r="H60" s="144"/>
      <c r="I60" s="192"/>
      <c r="J60" s="206"/>
      <c r="K60" s="172"/>
    </row>
    <row r="61" spans="1:11" ht="15">
      <c r="A61" s="172"/>
      <c r="B61" s="163" t="s">
        <v>155</v>
      </c>
      <c r="C61" s="143"/>
      <c r="D61" s="203"/>
      <c r="E61" s="222"/>
      <c r="F61" s="143"/>
      <c r="G61" s="222"/>
      <c r="H61" s="144"/>
      <c r="I61" s="192"/>
      <c r="J61" s="206"/>
      <c r="K61" s="172"/>
    </row>
    <row r="62" spans="1:11" ht="15">
      <c r="A62" s="172"/>
      <c r="B62" s="202" t="s">
        <v>156</v>
      </c>
      <c r="C62" s="143">
        <f>BRUT_TOTAL2</f>
        <v>2722.226210744395</v>
      </c>
      <c r="D62" s="203"/>
      <c r="E62" s="217"/>
      <c r="F62" s="147"/>
      <c r="G62" s="211">
        <v>0</v>
      </c>
      <c r="H62" s="144">
        <f>ROUNDDOWN($C62*G62,2)</f>
        <v>0</v>
      </c>
      <c r="I62" s="192"/>
      <c r="J62" s="206">
        <f>E62+G62</f>
        <v>0</v>
      </c>
      <c r="K62" s="172"/>
    </row>
    <row r="63" spans="1:11" ht="15">
      <c r="A63" s="172"/>
      <c r="B63" s="202" t="s">
        <v>157</v>
      </c>
      <c r="C63" s="143">
        <f>BRUT_TOTAL2</f>
        <v>2722.226210744395</v>
      </c>
      <c r="D63" s="203"/>
      <c r="E63" s="217"/>
      <c r="F63" s="147"/>
      <c r="G63" s="211">
        <v>0</v>
      </c>
      <c r="H63" s="144">
        <f>ROUNDDOWN($C63*G63,2)</f>
        <v>0</v>
      </c>
      <c r="I63" s="192"/>
      <c r="J63" s="206">
        <f>E63+G63</f>
        <v>0</v>
      </c>
      <c r="K63" s="172"/>
    </row>
    <row r="64" spans="1:11" ht="15">
      <c r="A64" s="172"/>
      <c r="B64" s="216" t="s">
        <v>158</v>
      </c>
      <c r="C64" s="143">
        <f>BRUT_TOTAL2</f>
        <v>2722.226210744395</v>
      </c>
      <c r="D64" s="203"/>
      <c r="E64" s="217"/>
      <c r="F64" s="147"/>
      <c r="G64" s="211">
        <v>0</v>
      </c>
      <c r="H64" s="144">
        <f>ROUNDDOWN($C64*G64,2)</f>
        <v>0</v>
      </c>
      <c r="I64" s="192"/>
      <c r="J64" s="206">
        <f>E64+G64</f>
        <v>0</v>
      </c>
      <c r="K64" s="172"/>
    </row>
    <row r="65" spans="1:11" ht="15">
      <c r="A65" s="213" t="b">
        <v>1</v>
      </c>
      <c r="B65" s="216" t="s">
        <v>159</v>
      </c>
      <c r="C65" s="143">
        <f>IF(A65,H52+H53+H54+H55,0)</f>
        <v>0</v>
      </c>
      <c r="D65" s="203"/>
      <c r="E65" s="217"/>
      <c r="F65" s="147"/>
      <c r="G65" s="211">
        <v>0.08</v>
      </c>
      <c r="H65" s="144">
        <f>C65*G65</f>
        <v>0</v>
      </c>
      <c r="I65" s="192"/>
      <c r="J65" s="223">
        <f>E65+G65</f>
        <v>0.08</v>
      </c>
      <c r="K65" s="172"/>
    </row>
    <row r="66" spans="1:11" ht="15">
      <c r="A66" s="172"/>
      <c r="B66" s="202"/>
      <c r="C66" s="147"/>
      <c r="D66" s="217"/>
      <c r="E66" s="217"/>
      <c r="F66" s="147"/>
      <c r="G66" s="204"/>
      <c r="H66" s="144"/>
      <c r="I66" s="192"/>
      <c r="J66" s="206"/>
      <c r="K66" s="172"/>
    </row>
    <row r="67" spans="1:11" ht="15">
      <c r="A67" s="172"/>
      <c r="B67" s="164" t="s">
        <v>160</v>
      </c>
      <c r="C67" s="148"/>
      <c r="D67" s="225"/>
      <c r="E67" s="226">
        <f>(F67/BRUT_TOTAL2)</f>
        <v>0.19506461215609078</v>
      </c>
      <c r="F67" s="148">
        <f>SUM(F28:F60)</f>
        <v>531.01</v>
      </c>
      <c r="G67" s="226">
        <f>(H67/BRUT_TOTAL2)</f>
        <v>0.39898227256543817</v>
      </c>
      <c r="H67" s="149">
        <f>SUM(H28:H66)</f>
        <v>1086.1200000000001</v>
      </c>
      <c r="I67" s="227"/>
      <c r="J67" s="206"/>
      <c r="K67" s="172"/>
    </row>
    <row r="68" spans="1:11" ht="15">
      <c r="A68" s="172"/>
      <c r="B68" s="224"/>
      <c r="C68" s="148"/>
      <c r="D68" s="225"/>
      <c r="E68" s="208"/>
      <c r="F68" s="148"/>
      <c r="G68" s="226"/>
      <c r="H68" s="149"/>
      <c r="I68" s="227"/>
      <c r="J68" s="206"/>
      <c r="K68" s="172"/>
    </row>
    <row r="69" spans="1:11" ht="15">
      <c r="A69" s="172"/>
      <c r="B69" s="164" t="s">
        <v>161</v>
      </c>
      <c r="C69" s="148"/>
      <c r="D69" s="225"/>
      <c r="E69" s="208"/>
      <c r="F69" s="148">
        <f>brut_TEPA2</f>
        <v>0</v>
      </c>
      <c r="G69" s="226"/>
      <c r="H69" s="149"/>
      <c r="I69" s="227"/>
      <c r="J69" s="206"/>
      <c r="K69" s="172"/>
    </row>
    <row r="70" spans="1:11" ht="15">
      <c r="A70" s="172"/>
      <c r="B70" s="202"/>
      <c r="C70" s="147"/>
      <c r="D70" s="217"/>
      <c r="E70" s="228"/>
      <c r="F70" s="147"/>
      <c r="G70" s="204"/>
      <c r="H70" s="144"/>
      <c r="I70" s="192"/>
      <c r="J70" s="206"/>
      <c r="K70" s="172"/>
    </row>
    <row r="71" spans="1:11" ht="15">
      <c r="A71" s="172"/>
      <c r="B71" s="164" t="s">
        <v>162</v>
      </c>
      <c r="C71" s="148"/>
      <c r="D71" s="225"/>
      <c r="E71" s="228"/>
      <c r="F71" s="148">
        <f>BRUT_TOTAL2-F67-F69</f>
        <v>2191.2162107443946</v>
      </c>
      <c r="G71" s="204"/>
      <c r="H71" s="144"/>
      <c r="I71" s="192"/>
      <c r="J71" s="206"/>
      <c r="K71" s="172"/>
    </row>
    <row r="72" spans="1:11" ht="15">
      <c r="A72" s="172"/>
      <c r="B72" s="202"/>
      <c r="C72" s="147"/>
      <c r="D72" s="217"/>
      <c r="E72" s="228"/>
      <c r="F72" s="147"/>
      <c r="G72" s="204"/>
      <c r="H72" s="144"/>
      <c r="I72" s="192"/>
      <c r="J72" s="206"/>
      <c r="K72" s="172"/>
    </row>
    <row r="73" spans="1:11" ht="15">
      <c r="A73" s="172"/>
      <c r="B73" s="163" t="s">
        <v>163</v>
      </c>
      <c r="C73" s="143"/>
      <c r="D73" s="203"/>
      <c r="E73" s="229"/>
      <c r="F73" s="143"/>
      <c r="G73" s="204"/>
      <c r="H73" s="144"/>
      <c r="I73" s="192"/>
      <c r="J73" s="206"/>
      <c r="K73" s="172"/>
    </row>
    <row r="74" spans="1:11" ht="15">
      <c r="A74" s="172"/>
      <c r="B74" s="202" t="s">
        <v>164</v>
      </c>
      <c r="C74" s="143">
        <f>C57</f>
        <v>2640.559424422063</v>
      </c>
      <c r="D74" s="203"/>
      <c r="E74" s="229">
        <v>0.024</v>
      </c>
      <c r="F74" s="143">
        <f>ROUNDDOWN($C74*E74,2)</f>
        <v>63.37</v>
      </c>
      <c r="G74" s="204"/>
      <c r="H74" s="144"/>
      <c r="I74" s="192"/>
      <c r="J74" s="206">
        <f>E74+G74</f>
        <v>0.024</v>
      </c>
      <c r="K74" s="172"/>
    </row>
    <row r="75" spans="1:11" ht="15">
      <c r="A75" s="172"/>
      <c r="B75" s="202" t="s">
        <v>165</v>
      </c>
      <c r="C75" s="143">
        <f>C57</f>
        <v>2640.559424422063</v>
      </c>
      <c r="D75" s="203"/>
      <c r="E75" s="229">
        <v>0.005</v>
      </c>
      <c r="F75" s="143">
        <f>ROUNDDOWN($C75*E75,2)</f>
        <v>13.2</v>
      </c>
      <c r="G75" s="204"/>
      <c r="H75" s="144"/>
      <c r="I75" s="192"/>
      <c r="J75" s="206">
        <f>E75+G75</f>
        <v>0.005</v>
      </c>
      <c r="K75" s="172"/>
    </row>
    <row r="76" spans="1:11" ht="15">
      <c r="A76" s="172"/>
      <c r="B76" s="230" t="s">
        <v>166</v>
      </c>
      <c r="C76" s="150">
        <v>0</v>
      </c>
      <c r="D76" s="231"/>
      <c r="E76" s="232">
        <v>3.5</v>
      </c>
      <c r="F76" s="143">
        <f>C76*E76</f>
        <v>0</v>
      </c>
      <c r="G76" s="204"/>
      <c r="H76" s="144"/>
      <c r="I76" s="192"/>
      <c r="J76" s="206"/>
      <c r="K76" s="172"/>
    </row>
    <row r="77" spans="1:11" ht="15">
      <c r="A77" s="172"/>
      <c r="B77" s="230" t="s">
        <v>167</v>
      </c>
      <c r="C77" s="151"/>
      <c r="D77" s="233"/>
      <c r="E77" s="234"/>
      <c r="F77" s="145">
        <v>0</v>
      </c>
      <c r="G77" s="204"/>
      <c r="H77" s="144"/>
      <c r="I77" s="192"/>
      <c r="J77" s="206"/>
      <c r="K77" s="172"/>
    </row>
    <row r="78" spans="1:11" ht="15">
      <c r="A78" s="172"/>
      <c r="B78" s="230" t="s">
        <v>168</v>
      </c>
      <c r="C78" s="151"/>
      <c r="D78" s="233"/>
      <c r="E78" s="234"/>
      <c r="F78" s="145">
        <v>0</v>
      </c>
      <c r="G78" s="204"/>
      <c r="H78" s="144"/>
      <c r="I78" s="192"/>
      <c r="J78" s="206"/>
      <c r="K78" s="172"/>
    </row>
    <row r="79" spans="1:11" ht="15">
      <c r="A79" s="172"/>
      <c r="B79" s="207" t="s">
        <v>169</v>
      </c>
      <c r="C79" s="151"/>
      <c r="D79" s="233"/>
      <c r="E79" s="234"/>
      <c r="F79" s="143"/>
      <c r="G79" s="204"/>
      <c r="H79" s="144"/>
      <c r="I79" s="192"/>
      <c r="J79" s="206"/>
      <c r="K79" s="172"/>
    </row>
    <row r="80" spans="1:11" ht="15">
      <c r="A80" s="172"/>
      <c r="B80" s="230" t="s">
        <v>170</v>
      </c>
      <c r="C80" s="152">
        <v>0</v>
      </c>
      <c r="D80" s="203"/>
      <c r="E80" s="232">
        <v>4.57</v>
      </c>
      <c r="F80" s="143">
        <f>-C80*E80</f>
        <v>0</v>
      </c>
      <c r="G80" s="204"/>
      <c r="H80" s="144"/>
      <c r="I80" s="192"/>
      <c r="J80" s="206"/>
      <c r="K80" s="172"/>
    </row>
    <row r="81" spans="1:11" ht="15">
      <c r="A81" s="172"/>
      <c r="B81" s="230" t="s">
        <v>168</v>
      </c>
      <c r="C81" s="143"/>
      <c r="D81" s="203"/>
      <c r="E81" s="229"/>
      <c r="F81" s="145">
        <v>0</v>
      </c>
      <c r="G81" s="204"/>
      <c r="H81" s="144"/>
      <c r="I81" s="192"/>
      <c r="J81" s="206"/>
      <c r="K81" s="172"/>
    </row>
    <row r="82" spans="1:11" ht="15">
      <c r="A82" s="172"/>
      <c r="B82" s="235"/>
      <c r="C82" s="143"/>
      <c r="D82" s="203"/>
      <c r="E82" s="229"/>
      <c r="F82" s="153"/>
      <c r="G82" s="204"/>
      <c r="H82" s="144"/>
      <c r="I82" s="192"/>
      <c r="J82" s="206"/>
      <c r="K82" s="172"/>
    </row>
    <row r="83" spans="1:11" ht="15">
      <c r="A83" s="172"/>
      <c r="B83" s="224" t="s">
        <v>161</v>
      </c>
      <c r="C83" s="148"/>
      <c r="D83" s="225"/>
      <c r="E83" s="208"/>
      <c r="F83" s="148">
        <f>-brut_TEPA2</f>
        <v>0</v>
      </c>
      <c r="G83" s="204"/>
      <c r="H83" s="144"/>
      <c r="I83" s="192"/>
      <c r="J83" s="206"/>
      <c r="K83" s="172"/>
    </row>
    <row r="84" spans="1:11" ht="15.75" thickBot="1">
      <c r="A84" s="172"/>
      <c r="B84" s="236"/>
      <c r="C84" s="154"/>
      <c r="D84" s="237"/>
      <c r="E84" s="238"/>
      <c r="F84" s="154"/>
      <c r="G84" s="239"/>
      <c r="H84" s="144"/>
      <c r="I84" s="192"/>
      <c r="J84" s="240"/>
      <c r="K84" s="172"/>
    </row>
    <row r="85" spans="1:11" ht="15.75" thickBot="1">
      <c r="A85" s="172"/>
      <c r="B85" s="351" t="s">
        <v>171</v>
      </c>
      <c r="C85" s="351"/>
      <c r="D85" s="351"/>
      <c r="E85" s="351"/>
      <c r="F85" s="351"/>
      <c r="G85" s="352"/>
      <c r="H85" s="241">
        <f>ROUNDDOWN(BRUT_TOTAL2-F67-SUM(F74:F78)-SUM(F80:F82),2)</f>
        <v>2114.64</v>
      </c>
      <c r="I85" s="242"/>
      <c r="J85" s="175"/>
      <c r="K85" s="172"/>
    </row>
    <row r="86" spans="1:11" ht="15.75" thickBot="1">
      <c r="A86" s="172"/>
      <c r="B86" s="172"/>
      <c r="C86" s="173"/>
      <c r="D86" s="173"/>
      <c r="E86" s="174"/>
      <c r="F86" s="173"/>
      <c r="G86" s="174"/>
      <c r="H86" s="243"/>
      <c r="I86" s="243"/>
      <c r="J86" s="175"/>
      <c r="K86" s="172"/>
    </row>
    <row r="87" spans="1:11" ht="21" thickBot="1">
      <c r="A87" s="172"/>
      <c r="B87" s="172"/>
      <c r="C87" s="173"/>
      <c r="D87" s="173"/>
      <c r="E87" s="174"/>
      <c r="F87" s="244"/>
      <c r="G87" s="245" t="s">
        <v>172</v>
      </c>
      <c r="H87" s="246">
        <f>Net</f>
        <v>2114.64</v>
      </c>
      <c r="I87" s="247"/>
      <c r="J87" s="248"/>
      <c r="K87" s="172"/>
    </row>
    <row r="88" spans="1:11" ht="15">
      <c r="A88" s="172"/>
      <c r="B88" s="172"/>
      <c r="C88" s="173"/>
      <c r="D88" s="173"/>
      <c r="E88" s="174"/>
      <c r="F88" s="173"/>
      <c r="G88" s="174"/>
      <c r="H88" s="173"/>
      <c r="I88" s="173"/>
      <c r="J88" s="175"/>
      <c r="K88" s="172"/>
    </row>
    <row r="89" spans="1:11" ht="15">
      <c r="A89" s="172"/>
      <c r="B89" s="172"/>
      <c r="C89" s="173"/>
      <c r="D89" s="173"/>
      <c r="E89" s="174"/>
      <c r="F89" s="244"/>
      <c r="G89" s="174"/>
      <c r="H89" s="173"/>
      <c r="I89" s="173"/>
      <c r="J89" s="175"/>
      <c r="K89" s="172"/>
    </row>
    <row r="90" spans="1:11" ht="15.75" thickBot="1">
      <c r="A90" s="172"/>
      <c r="B90" s="172"/>
      <c r="C90" s="173"/>
      <c r="D90" s="173"/>
      <c r="E90" s="174"/>
      <c r="F90" s="249"/>
      <c r="G90" s="250"/>
      <c r="H90" s="251"/>
      <c r="I90" s="251"/>
      <c r="J90" s="252"/>
      <c r="K90" s="253"/>
    </row>
    <row r="91" spans="1:11" ht="15.75" thickBot="1">
      <c r="A91" s="172"/>
      <c r="B91" s="172"/>
      <c r="C91" s="173"/>
      <c r="D91" s="173"/>
      <c r="E91" s="174"/>
      <c r="F91" s="254"/>
      <c r="G91" s="255" t="s">
        <v>173</v>
      </c>
      <c r="H91" s="241">
        <f>H67-F80-F81</f>
        <v>1086.1200000000001</v>
      </c>
      <c r="I91" s="242"/>
      <c r="J91" s="256"/>
      <c r="K91" s="253"/>
    </row>
    <row r="92" spans="1:11" ht="15.75" thickBot="1">
      <c r="A92" s="172"/>
      <c r="B92" s="172"/>
      <c r="C92" s="173"/>
      <c r="D92" s="173"/>
      <c r="E92" s="174"/>
      <c r="F92" s="254"/>
      <c r="G92" s="257" t="s">
        <v>174</v>
      </c>
      <c r="H92" s="258">
        <f>SUM(H28:H55)+H59+H65-F80-F81</f>
        <v>1086.1200000000001</v>
      </c>
      <c r="I92" s="259"/>
      <c r="J92" s="260"/>
      <c r="K92" s="261"/>
    </row>
    <row r="93" spans="1:11" ht="15.75" thickBot="1">
      <c r="A93" s="172"/>
      <c r="B93" s="172"/>
      <c r="C93" s="173"/>
      <c r="D93" s="173"/>
      <c r="E93" s="174"/>
      <c r="F93" s="254"/>
      <c r="G93" s="257" t="s">
        <v>175</v>
      </c>
      <c r="H93" s="258">
        <f>SUM(H62:H64)</f>
        <v>0</v>
      </c>
      <c r="I93" s="259"/>
      <c r="J93" s="260"/>
      <c r="K93" s="261"/>
    </row>
    <row r="94" spans="1:11" ht="15.75" thickBot="1">
      <c r="A94" s="172"/>
      <c r="B94" s="172"/>
      <c r="C94" s="173"/>
      <c r="D94" s="173"/>
      <c r="E94" s="174"/>
      <c r="F94" s="254"/>
      <c r="G94" s="257"/>
      <c r="H94" s="259"/>
      <c r="I94" s="259"/>
      <c r="J94" s="260"/>
      <c r="K94" s="261"/>
    </row>
    <row r="95" spans="1:11" ht="15.75" thickBot="1">
      <c r="A95" s="172"/>
      <c r="B95" s="172"/>
      <c r="C95" s="173"/>
      <c r="D95" s="173"/>
      <c r="E95" s="174"/>
      <c r="F95" s="254"/>
      <c r="G95" s="255" t="s">
        <v>176</v>
      </c>
      <c r="H95" s="262">
        <f>H91/BRUT_TOTAL2</f>
        <v>0.39898227256543817</v>
      </c>
      <c r="I95" s="261"/>
      <c r="J95" s="260"/>
      <c r="K95" s="261"/>
    </row>
    <row r="96" spans="1:11" ht="15.75" thickBot="1">
      <c r="A96" s="172"/>
      <c r="B96" s="172"/>
      <c r="C96" s="173"/>
      <c r="D96" s="173"/>
      <c r="E96" s="174"/>
      <c r="F96" s="254"/>
      <c r="G96" s="257"/>
      <c r="H96" s="259"/>
      <c r="I96" s="259"/>
      <c r="J96" s="260"/>
      <c r="K96" s="261"/>
    </row>
    <row r="97" spans="1:11" ht="15.75" thickBot="1">
      <c r="A97" s="172"/>
      <c r="B97" s="172"/>
      <c r="C97" s="173"/>
      <c r="D97" s="173"/>
      <c r="E97" s="174"/>
      <c r="F97" s="254"/>
      <c r="G97" s="255" t="s">
        <v>177</v>
      </c>
      <c r="H97" s="241">
        <f>BRUT_TOTAL2+H67-F80</f>
        <v>3808.3462107443947</v>
      </c>
      <c r="I97" s="242"/>
      <c r="J97" s="260"/>
      <c r="K97" s="261"/>
    </row>
    <row r="98" spans="1:11" ht="15">
      <c r="A98" s="172"/>
      <c r="B98" s="172"/>
      <c r="C98" s="173"/>
      <c r="D98" s="173"/>
      <c r="E98" s="174"/>
      <c r="F98" s="254"/>
      <c r="G98" s="257"/>
      <c r="H98" s="259"/>
      <c r="I98" s="259"/>
      <c r="J98" s="260"/>
      <c r="K98" s="261"/>
    </row>
    <row r="99" spans="1:11" ht="15.75" thickBot="1">
      <c r="A99" s="172"/>
      <c r="B99" s="172"/>
      <c r="C99" s="173"/>
      <c r="D99" s="173"/>
      <c r="E99" s="174"/>
      <c r="F99" s="254"/>
      <c r="G99" s="141"/>
      <c r="H99" s="140"/>
      <c r="I99" s="140"/>
      <c r="J99" s="256"/>
      <c r="K99" s="253"/>
    </row>
    <row r="100" spans="1:11" ht="15.75" thickBot="1">
      <c r="A100" s="172"/>
      <c r="B100" s="172"/>
      <c r="C100" s="173"/>
      <c r="D100" s="173"/>
      <c r="E100" s="174"/>
      <c r="F100" s="254"/>
      <c r="G100" s="255" t="s">
        <v>178</v>
      </c>
      <c r="H100" s="241">
        <f>BRUT_TOTAL2-Net</f>
        <v>607.586210744395</v>
      </c>
      <c r="I100" s="242"/>
      <c r="J100" s="263"/>
      <c r="K100" s="253"/>
    </row>
    <row r="101" spans="1:11" ht="15.75" thickBot="1">
      <c r="A101" s="172"/>
      <c r="B101" s="172"/>
      <c r="C101" s="173"/>
      <c r="D101" s="173"/>
      <c r="E101" s="174"/>
      <c r="F101" s="254"/>
      <c r="G101" s="255"/>
      <c r="H101" s="242"/>
      <c r="I101" s="242"/>
      <c r="J101" s="260"/>
      <c r="K101" s="261"/>
    </row>
    <row r="102" spans="1:11" ht="15.75" thickBot="1">
      <c r="A102" s="172"/>
      <c r="B102" s="172"/>
      <c r="C102" s="173"/>
      <c r="D102" s="173"/>
      <c r="E102" s="174"/>
      <c r="F102" s="254"/>
      <c r="G102" s="255" t="s">
        <v>179</v>
      </c>
      <c r="H102" s="262">
        <f>H100/BRUT_TOTAL2</f>
        <v>0.22319460754080758</v>
      </c>
      <c r="I102" s="261"/>
      <c r="J102" s="260"/>
      <c r="K102" s="261"/>
    </row>
    <row r="103" spans="1:11" ht="15.75" thickBot="1">
      <c r="A103" s="172"/>
      <c r="B103" s="172"/>
      <c r="C103" s="173"/>
      <c r="D103" s="173"/>
      <c r="E103" s="174"/>
      <c r="F103" s="254"/>
      <c r="G103" s="141"/>
      <c r="H103" s="140"/>
      <c r="I103" s="140"/>
      <c r="J103" s="256"/>
      <c r="K103" s="253"/>
    </row>
    <row r="104" spans="1:11" ht="15.75" thickBot="1">
      <c r="A104" s="172"/>
      <c r="B104" s="172"/>
      <c r="C104" s="173"/>
      <c r="D104" s="173"/>
      <c r="E104" s="174"/>
      <c r="F104" s="254"/>
      <c r="G104" s="255" t="s">
        <v>180</v>
      </c>
      <c r="H104" s="241">
        <f>H91+H100</f>
        <v>1693.706210744395</v>
      </c>
      <c r="I104" s="242"/>
      <c r="J104" s="256"/>
      <c r="K104" s="253"/>
    </row>
    <row r="105" spans="1:11" ht="15">
      <c r="A105" s="172"/>
      <c r="B105" s="172"/>
      <c r="C105" s="173"/>
      <c r="D105" s="173"/>
      <c r="E105" s="174"/>
      <c r="F105" s="264"/>
      <c r="G105" s="265"/>
      <c r="H105" s="266"/>
      <c r="I105" s="266"/>
      <c r="J105" s="267"/>
      <c r="K105" s="253"/>
    </row>
    <row r="106" spans="1:11" ht="15">
      <c r="A106" s="172"/>
      <c r="B106" s="172"/>
      <c r="C106" s="173"/>
      <c r="D106" s="173"/>
      <c r="E106" s="174"/>
      <c r="F106" s="173"/>
      <c r="G106" s="174"/>
      <c r="H106" s="173"/>
      <c r="I106" s="173"/>
      <c r="J106" s="175"/>
      <c r="K106" s="172"/>
    </row>
    <row r="107" spans="1:11" ht="15">
      <c r="A107" s="172"/>
      <c r="B107" s="172"/>
      <c r="C107" s="173"/>
      <c r="D107" s="173"/>
      <c r="E107" s="174"/>
      <c r="F107" s="173"/>
      <c r="G107" s="169" t="s">
        <v>181</v>
      </c>
      <c r="H107" s="169" t="s">
        <v>182</v>
      </c>
      <c r="I107" s="173"/>
      <c r="J107" s="175"/>
      <c r="K107" s="172"/>
    </row>
    <row r="108" spans="1:11" ht="15">
      <c r="A108" s="172"/>
      <c r="B108" s="172"/>
      <c r="C108" s="173"/>
      <c r="D108" s="173"/>
      <c r="E108" s="174"/>
      <c r="F108" s="173"/>
      <c r="G108" s="268">
        <f>IF(0.281/0.6*((1.6*(C20*151.67*(C9/C10))/BRUT_TOTAL2)-1)&gt;0,IF(0.281/0.6*((1.6*(C20*151.67*(C9/C10))/BRUT_TOTAL2)-1)&lt;0.281,0.281/0.6*((1.6*(C20*151.67*(C9/C10))/BRUT_TOTAL2)-1),0.281),0)</f>
        <v>0</v>
      </c>
      <c r="H108" s="268">
        <f>IF(0.26/0.6*((1.6*(C20*151.67*(C9/C10))/BRUT_TOTAL2)-1)&gt;0,IF(0.26/0.6*((1.6*(C20*151.67*(C9/C10))/BRUT_TOTAL2)-1)&lt;0.26,0.26/0.6*((1.6*(C20*151.67*(C9/C10))/BRUT_TOTAL2)-1),0.26),0)</f>
        <v>0</v>
      </c>
      <c r="I108" s="173"/>
      <c r="J108" s="175"/>
      <c r="K108" s="172"/>
    </row>
    <row r="109" spans="1:11" ht="15">
      <c r="A109" s="172"/>
      <c r="B109" s="172"/>
      <c r="C109" s="173"/>
      <c r="D109" s="173"/>
      <c r="E109" s="174"/>
      <c r="F109" s="173"/>
      <c r="G109" s="174"/>
      <c r="H109" s="173"/>
      <c r="I109" s="173"/>
      <c r="J109" s="175"/>
      <c r="K109" s="172"/>
    </row>
    <row r="110" spans="1:11" ht="15">
      <c r="A110" s="172"/>
      <c r="B110" s="172"/>
      <c r="C110" s="173"/>
      <c r="D110" s="173"/>
      <c r="E110" s="174"/>
      <c r="F110" s="173"/>
      <c r="G110" s="174"/>
      <c r="H110" s="173"/>
      <c r="I110" s="173"/>
      <c r="J110" s="175"/>
      <c r="K110" s="172"/>
    </row>
    <row r="111" spans="1:11" ht="15">
      <c r="A111" s="172"/>
      <c r="B111" s="172"/>
      <c r="C111" s="173"/>
      <c r="D111" s="173"/>
      <c r="E111" s="174"/>
      <c r="F111" s="173"/>
      <c r="G111" s="174"/>
      <c r="H111" s="173"/>
      <c r="I111" s="173"/>
      <c r="J111" s="175"/>
      <c r="K111" s="172"/>
    </row>
    <row r="112" spans="1:11" ht="15">
      <c r="A112" s="172"/>
      <c r="B112" s="172"/>
      <c r="C112" s="173"/>
      <c r="D112" s="173"/>
      <c r="E112" s="174"/>
      <c r="F112" s="173"/>
      <c r="G112" s="174"/>
      <c r="H112" s="173"/>
      <c r="I112" s="173"/>
      <c r="J112" s="175"/>
      <c r="K112" s="172"/>
    </row>
    <row r="113" spans="1:11" ht="15">
      <c r="A113" s="172"/>
      <c r="B113" s="172"/>
      <c r="C113" s="173"/>
      <c r="D113" s="173"/>
      <c r="E113" s="174"/>
      <c r="F113" s="173"/>
      <c r="G113" s="174"/>
      <c r="H113" s="173"/>
      <c r="I113" s="173"/>
      <c r="J113" s="175"/>
      <c r="K113" s="172"/>
    </row>
    <row r="114" spans="1:11" ht="15">
      <c r="A114" s="172"/>
      <c r="B114" s="172"/>
      <c r="C114" s="173"/>
      <c r="D114" s="173"/>
      <c r="E114" s="174"/>
      <c r="F114" s="173"/>
      <c r="G114" s="174"/>
      <c r="H114" s="173"/>
      <c r="I114" s="173"/>
      <c r="J114" s="175"/>
      <c r="K114" s="172"/>
    </row>
    <row r="115" spans="1:11" ht="15">
      <c r="A115" s="172"/>
      <c r="B115" s="172"/>
      <c r="C115" s="173"/>
      <c r="D115" s="173"/>
      <c r="E115" s="174"/>
      <c r="F115" s="173"/>
      <c r="G115" s="174"/>
      <c r="H115" s="173"/>
      <c r="I115" s="173"/>
      <c r="J115" s="175"/>
      <c r="K115" s="172"/>
    </row>
    <row r="116" spans="1:11" ht="15">
      <c r="A116" s="172"/>
      <c r="B116" s="172"/>
      <c r="C116" s="173"/>
      <c r="D116" s="173"/>
      <c r="E116" s="174"/>
      <c r="F116" s="173"/>
      <c r="G116" s="174"/>
      <c r="H116" s="173"/>
      <c r="I116" s="173"/>
      <c r="J116" s="175"/>
      <c r="K116" s="172"/>
    </row>
    <row r="117" spans="1:11" ht="15">
      <c r="A117" s="172"/>
      <c r="B117" s="172"/>
      <c r="C117" s="173"/>
      <c r="D117" s="173"/>
      <c r="E117" s="174"/>
      <c r="F117" s="173"/>
      <c r="G117" s="174"/>
      <c r="H117" s="173"/>
      <c r="I117" s="173"/>
      <c r="J117" s="175"/>
      <c r="K117" s="172"/>
    </row>
    <row r="118" spans="1:11" ht="15">
      <c r="A118" s="172"/>
      <c r="B118" s="172"/>
      <c r="C118" s="173"/>
      <c r="D118" s="173"/>
      <c r="E118" s="174"/>
      <c r="F118" s="173"/>
      <c r="G118" s="174"/>
      <c r="H118" s="173"/>
      <c r="I118" s="173"/>
      <c r="J118" s="175"/>
      <c r="K118" s="172"/>
    </row>
    <row r="119" spans="1:11" ht="15">
      <c r="A119" s="172"/>
      <c r="B119" s="172"/>
      <c r="C119" s="173"/>
      <c r="D119" s="173"/>
      <c r="E119" s="174"/>
      <c r="F119" s="173"/>
      <c r="G119" s="174"/>
      <c r="H119" s="173"/>
      <c r="I119" s="173"/>
      <c r="J119" s="175"/>
      <c r="K119" s="172"/>
    </row>
    <row r="120" spans="1:11" ht="15">
      <c r="A120" s="172"/>
      <c r="B120" s="172"/>
      <c r="C120" s="173"/>
      <c r="D120" s="173"/>
      <c r="E120" s="174"/>
      <c r="F120" s="173"/>
      <c r="G120" s="174"/>
      <c r="H120" s="173"/>
      <c r="I120" s="173"/>
      <c r="J120" s="175"/>
      <c r="K120" s="172"/>
    </row>
    <row r="121" spans="1:11" ht="15">
      <c r="A121" s="172"/>
      <c r="B121" s="172"/>
      <c r="C121" s="173"/>
      <c r="D121" s="173"/>
      <c r="E121" s="174"/>
      <c r="F121" s="173"/>
      <c r="G121" s="174"/>
      <c r="H121" s="173"/>
      <c r="I121" s="173"/>
      <c r="J121" s="175"/>
      <c r="K121" s="172"/>
    </row>
    <row r="122" spans="1:11" ht="15">
      <c r="A122" s="172"/>
      <c r="B122" s="172"/>
      <c r="C122" s="173"/>
      <c r="D122" s="173"/>
      <c r="E122" s="174"/>
      <c r="F122" s="173"/>
      <c r="G122" s="174"/>
      <c r="H122" s="173"/>
      <c r="I122" s="173"/>
      <c r="J122" s="175"/>
      <c r="K122" s="172"/>
    </row>
    <row r="123" spans="1:11" ht="15">
      <c r="A123" s="172"/>
      <c r="B123" s="172"/>
      <c r="C123" s="173"/>
      <c r="D123" s="173"/>
      <c r="E123" s="174"/>
      <c r="F123" s="173"/>
      <c r="G123" s="174"/>
      <c r="H123" s="173"/>
      <c r="I123" s="173"/>
      <c r="J123" s="175"/>
      <c r="K123" s="172"/>
    </row>
    <row r="124" spans="1:11" ht="15">
      <c r="A124" s="172"/>
      <c r="B124" s="172"/>
      <c r="C124" s="173"/>
      <c r="D124" s="173"/>
      <c r="E124" s="174"/>
      <c r="F124" s="173"/>
      <c r="G124" s="174"/>
      <c r="H124" s="173"/>
      <c r="I124" s="173"/>
      <c r="J124" s="175"/>
      <c r="K124" s="172"/>
    </row>
    <row r="125" spans="1:11" ht="15">
      <c r="A125" s="172"/>
      <c r="B125" s="172"/>
      <c r="C125" s="173"/>
      <c r="D125" s="173"/>
      <c r="E125" s="174"/>
      <c r="F125" s="173"/>
      <c r="G125" s="174"/>
      <c r="H125" s="173"/>
      <c r="I125" s="173"/>
      <c r="J125" s="175"/>
      <c r="K125" s="172"/>
    </row>
    <row r="126" spans="1:11" ht="15">
      <c r="A126" s="172"/>
      <c r="B126" s="173"/>
      <c r="C126" s="173"/>
      <c r="D126" s="173"/>
      <c r="E126" s="174"/>
      <c r="F126" s="173"/>
      <c r="G126" s="174"/>
      <c r="H126" s="173"/>
      <c r="I126" s="173"/>
      <c r="J126" s="175"/>
      <c r="K126" s="172"/>
    </row>
    <row r="127" spans="1:11" ht="15">
      <c r="A127" s="172"/>
      <c r="B127" s="172"/>
      <c r="C127" s="173"/>
      <c r="D127" s="173"/>
      <c r="E127" s="174"/>
      <c r="F127" s="173"/>
      <c r="G127" s="174"/>
      <c r="H127" s="173"/>
      <c r="I127" s="173"/>
      <c r="J127" s="175"/>
      <c r="K127" s="172"/>
    </row>
    <row r="128" spans="1:11" ht="15">
      <c r="A128" s="172"/>
      <c r="B128" s="172"/>
      <c r="C128" s="173"/>
      <c r="D128" s="173"/>
      <c r="E128" s="174"/>
      <c r="F128" s="173"/>
      <c r="G128" s="174"/>
      <c r="H128" s="173"/>
      <c r="I128" s="173"/>
      <c r="J128" s="175"/>
      <c r="K128" s="172"/>
    </row>
    <row r="129" spans="1:11" ht="15">
      <c r="A129" s="172"/>
      <c r="B129" s="172"/>
      <c r="C129" s="173"/>
      <c r="D129" s="173"/>
      <c r="E129" s="174"/>
      <c r="F129" s="173"/>
      <c r="G129" s="174"/>
      <c r="H129" s="173"/>
      <c r="I129" s="173"/>
      <c r="J129" s="175"/>
      <c r="K129" s="172"/>
    </row>
    <row r="130" spans="1:11" ht="15">
      <c r="A130" s="172"/>
      <c r="B130" s="172"/>
      <c r="C130" s="173"/>
      <c r="D130" s="173"/>
      <c r="E130" s="174"/>
      <c r="F130" s="173"/>
      <c r="G130" s="174"/>
      <c r="H130" s="173"/>
      <c r="I130" s="173"/>
      <c r="J130" s="175"/>
      <c r="K130" s="172"/>
    </row>
    <row r="131" spans="1:11" ht="15">
      <c r="A131" s="172"/>
      <c r="B131" s="172"/>
      <c r="C131" s="173"/>
      <c r="D131" s="173"/>
      <c r="E131" s="174"/>
      <c r="F131" s="173"/>
      <c r="G131" s="174"/>
      <c r="H131" s="173"/>
      <c r="I131" s="173"/>
      <c r="J131" s="175"/>
      <c r="K131" s="172"/>
    </row>
    <row r="132" spans="1:11" ht="15">
      <c r="A132" s="172"/>
      <c r="B132" s="172"/>
      <c r="C132" s="173"/>
      <c r="D132" s="173"/>
      <c r="E132" s="174"/>
      <c r="F132" s="173"/>
      <c r="G132" s="174"/>
      <c r="H132" s="173"/>
      <c r="I132" s="173"/>
      <c r="J132" s="175"/>
      <c r="K132" s="172"/>
    </row>
    <row r="133" spans="1:11" ht="15">
      <c r="A133" s="172"/>
      <c r="B133" s="172"/>
      <c r="C133" s="173"/>
      <c r="D133" s="173"/>
      <c r="E133" s="174"/>
      <c r="F133" s="173"/>
      <c r="G133" s="174"/>
      <c r="H133" s="173"/>
      <c r="I133" s="173"/>
      <c r="J133" s="175"/>
      <c r="K133" s="172"/>
    </row>
    <row r="134" spans="1:11" ht="15">
      <c r="A134" s="172"/>
      <c r="B134" s="172"/>
      <c r="C134" s="173"/>
      <c r="D134" s="173"/>
      <c r="E134" s="174"/>
      <c r="F134" s="173"/>
      <c r="G134" s="174"/>
      <c r="H134" s="173"/>
      <c r="I134" s="173"/>
      <c r="J134" s="175"/>
      <c r="K134" s="172"/>
    </row>
    <row r="135" spans="1:11" ht="15">
      <c r="A135" s="172"/>
      <c r="B135" s="172"/>
      <c r="C135" s="173"/>
      <c r="D135" s="173"/>
      <c r="E135" s="174"/>
      <c r="F135" s="173"/>
      <c r="G135" s="174"/>
      <c r="H135" s="173"/>
      <c r="I135" s="173"/>
      <c r="J135" s="175"/>
      <c r="K135" s="172"/>
    </row>
    <row r="136" spans="1:11" ht="15">
      <c r="A136" s="172"/>
      <c r="B136" s="172"/>
      <c r="C136" s="173"/>
      <c r="D136" s="173"/>
      <c r="E136" s="174"/>
      <c r="F136" s="173"/>
      <c r="G136" s="174"/>
      <c r="H136" s="173"/>
      <c r="I136" s="173"/>
      <c r="J136" s="175"/>
      <c r="K136" s="172"/>
    </row>
    <row r="137" spans="1:11" ht="15">
      <c r="A137" s="172"/>
      <c r="B137" s="172"/>
      <c r="C137" s="173"/>
      <c r="D137" s="173"/>
      <c r="E137" s="174"/>
      <c r="F137" s="173"/>
      <c r="G137" s="174"/>
      <c r="H137" s="173"/>
      <c r="I137" s="173"/>
      <c r="J137" s="175"/>
      <c r="K137" s="172"/>
    </row>
    <row r="138" spans="1:11" ht="15">
      <c r="A138" s="172"/>
      <c r="B138" s="172"/>
      <c r="C138" s="173"/>
      <c r="D138" s="173"/>
      <c r="E138" s="174"/>
      <c r="F138" s="173"/>
      <c r="G138" s="174"/>
      <c r="H138" s="173"/>
      <c r="I138" s="173"/>
      <c r="J138" s="175"/>
      <c r="K138" s="172"/>
    </row>
    <row r="139" spans="1:11" ht="15">
      <c r="A139" s="172"/>
      <c r="B139" s="172"/>
      <c r="C139" s="173"/>
      <c r="D139" s="173"/>
      <c r="E139" s="174"/>
      <c r="F139" s="173"/>
      <c r="G139" s="174"/>
      <c r="H139" s="173"/>
      <c r="I139" s="173"/>
      <c r="J139" s="175"/>
      <c r="K139" s="172"/>
    </row>
    <row r="140" spans="1:11" ht="15">
      <c r="A140" s="172"/>
      <c r="B140" s="172"/>
      <c r="C140" s="173"/>
      <c r="D140" s="173"/>
      <c r="E140" s="174"/>
      <c r="F140" s="173"/>
      <c r="G140" s="174"/>
      <c r="H140" s="173"/>
      <c r="I140" s="173"/>
      <c r="J140" s="175"/>
      <c r="K140" s="172"/>
    </row>
    <row r="141" spans="1:11" ht="15">
      <c r="A141" s="172"/>
      <c r="B141" s="172"/>
      <c r="C141" s="173"/>
      <c r="D141" s="173"/>
      <c r="E141" s="174"/>
      <c r="F141" s="173"/>
      <c r="G141" s="174"/>
      <c r="H141" s="173"/>
      <c r="I141" s="173"/>
      <c r="J141" s="175"/>
      <c r="K141" s="172"/>
    </row>
    <row r="142" spans="1:11" ht="15">
      <c r="A142" s="172"/>
      <c r="B142" s="172"/>
      <c r="C142" s="173"/>
      <c r="D142" s="173"/>
      <c r="E142" s="174"/>
      <c r="F142" s="173"/>
      <c r="G142" s="174"/>
      <c r="H142" s="173"/>
      <c r="I142" s="173"/>
      <c r="J142" s="175"/>
      <c r="K142" s="172"/>
    </row>
    <row r="143" spans="1:11" ht="15">
      <c r="A143" s="172"/>
      <c r="B143" s="172"/>
      <c r="C143" s="173"/>
      <c r="D143" s="173"/>
      <c r="E143" s="174"/>
      <c r="F143" s="173"/>
      <c r="G143" s="174"/>
      <c r="H143" s="173"/>
      <c r="I143" s="173"/>
      <c r="J143" s="175"/>
      <c r="K143" s="172"/>
    </row>
    <row r="144" spans="1:11" ht="15">
      <c r="A144" s="172"/>
      <c r="B144" s="172"/>
      <c r="C144" s="173"/>
      <c r="D144" s="173"/>
      <c r="E144" s="174"/>
      <c r="F144" s="173"/>
      <c r="G144" s="174"/>
      <c r="H144" s="173"/>
      <c r="I144" s="173"/>
      <c r="J144" s="175"/>
      <c r="K144" s="172"/>
    </row>
    <row r="145" spans="1:11" ht="15">
      <c r="A145" s="172"/>
      <c r="B145" s="172"/>
      <c r="C145" s="173"/>
      <c r="D145" s="173"/>
      <c r="E145" s="174"/>
      <c r="F145" s="173"/>
      <c r="G145" s="174"/>
      <c r="H145" s="173"/>
      <c r="I145" s="173"/>
      <c r="J145" s="175"/>
      <c r="K145" s="172"/>
    </row>
    <row r="146" spans="1:11" ht="15">
      <c r="A146" s="172"/>
      <c r="B146" s="172"/>
      <c r="C146" s="173"/>
      <c r="D146" s="173"/>
      <c r="E146" s="174"/>
      <c r="F146" s="173"/>
      <c r="G146" s="174"/>
      <c r="H146" s="173"/>
      <c r="I146" s="173"/>
      <c r="J146" s="175"/>
      <c r="K146" s="172"/>
    </row>
    <row r="147" spans="1:11" ht="15">
      <c r="A147" s="172"/>
      <c r="B147" s="172"/>
      <c r="C147" s="173"/>
      <c r="D147" s="173"/>
      <c r="E147" s="174"/>
      <c r="F147" s="173"/>
      <c r="G147" s="174"/>
      <c r="H147" s="173"/>
      <c r="I147" s="173"/>
      <c r="J147" s="175"/>
      <c r="K147" s="172"/>
    </row>
    <row r="148" spans="1:11" ht="15">
      <c r="A148" s="172"/>
      <c r="B148" s="172"/>
      <c r="C148" s="173"/>
      <c r="D148" s="173"/>
      <c r="E148" s="174"/>
      <c r="F148" s="173"/>
      <c r="G148" s="174"/>
      <c r="H148" s="173"/>
      <c r="I148" s="173"/>
      <c r="J148" s="175"/>
      <c r="K148" s="172"/>
    </row>
    <row r="149" spans="1:11" ht="15">
      <c r="A149" s="172"/>
      <c r="B149" s="172"/>
      <c r="C149" s="173"/>
      <c r="D149" s="173"/>
      <c r="E149" s="174"/>
      <c r="F149" s="173"/>
      <c r="G149" s="174"/>
      <c r="H149" s="173"/>
      <c r="I149" s="173"/>
      <c r="J149" s="175"/>
      <c r="K149" s="172"/>
    </row>
    <row r="150" spans="1:11" ht="15">
      <c r="A150" s="172"/>
      <c r="B150" s="172"/>
      <c r="C150" s="173"/>
      <c r="D150" s="173"/>
      <c r="E150" s="174"/>
      <c r="F150" s="173"/>
      <c r="G150" s="174"/>
      <c r="H150" s="173"/>
      <c r="I150" s="173"/>
      <c r="J150" s="175"/>
      <c r="K150" s="172"/>
    </row>
    <row r="151" spans="1:11" ht="15">
      <c r="A151" s="172"/>
      <c r="B151" s="172"/>
      <c r="C151" s="173"/>
      <c r="D151" s="173"/>
      <c r="E151" s="174"/>
      <c r="F151" s="173"/>
      <c r="G151" s="174"/>
      <c r="H151" s="173"/>
      <c r="I151" s="173"/>
      <c r="J151" s="175"/>
      <c r="K151" s="172"/>
    </row>
    <row r="152" spans="1:11" ht="15">
      <c r="A152" s="172"/>
      <c r="B152" s="172"/>
      <c r="C152" s="173"/>
      <c r="D152" s="173"/>
      <c r="E152" s="174"/>
      <c r="F152" s="173"/>
      <c r="G152" s="174"/>
      <c r="H152" s="173"/>
      <c r="I152" s="173"/>
      <c r="J152" s="175"/>
      <c r="K152" s="172"/>
    </row>
    <row r="153" spans="1:11" ht="15">
      <c r="A153" s="172"/>
      <c r="B153" s="172"/>
      <c r="C153" s="173"/>
      <c r="D153" s="173"/>
      <c r="E153" s="174"/>
      <c r="F153" s="173"/>
      <c r="G153" s="174"/>
      <c r="H153" s="173"/>
      <c r="I153" s="173"/>
      <c r="J153" s="175"/>
      <c r="K153" s="172"/>
    </row>
    <row r="154" spans="1:11" ht="15">
      <c r="A154" s="172"/>
      <c r="B154" s="172"/>
      <c r="C154" s="173"/>
      <c r="D154" s="173"/>
      <c r="E154" s="174"/>
      <c r="F154" s="173"/>
      <c r="G154" s="174"/>
      <c r="H154" s="173"/>
      <c r="I154" s="173"/>
      <c r="J154" s="175"/>
      <c r="K154" s="172"/>
    </row>
    <row r="155" spans="1:11" ht="15">
      <c r="A155" s="172"/>
      <c r="B155" s="172"/>
      <c r="C155" s="173"/>
      <c r="D155" s="173"/>
      <c r="E155" s="174"/>
      <c r="F155" s="173"/>
      <c r="G155" s="174"/>
      <c r="H155" s="173"/>
      <c r="I155" s="173"/>
      <c r="J155" s="175"/>
      <c r="K155" s="172"/>
    </row>
    <row r="156" spans="1:11" ht="15">
      <c r="A156" s="172"/>
      <c r="B156" s="172"/>
      <c r="C156" s="173"/>
      <c r="D156" s="173"/>
      <c r="E156" s="174"/>
      <c r="F156" s="173"/>
      <c r="G156" s="174"/>
      <c r="H156" s="173"/>
      <c r="I156" s="173"/>
      <c r="J156" s="175"/>
      <c r="K156" s="172"/>
    </row>
    <row r="157" spans="1:11" ht="15">
      <c r="A157" s="172"/>
      <c r="B157" s="172"/>
      <c r="C157" s="173"/>
      <c r="D157" s="173"/>
      <c r="E157" s="174"/>
      <c r="F157" s="173"/>
      <c r="G157" s="174"/>
      <c r="H157" s="173"/>
      <c r="I157" s="173"/>
      <c r="J157" s="175"/>
      <c r="K157" s="172"/>
    </row>
    <row r="158" spans="1:11" ht="15">
      <c r="A158" s="172"/>
      <c r="B158" s="172"/>
      <c r="C158" s="173"/>
      <c r="D158" s="173"/>
      <c r="E158" s="174"/>
      <c r="F158" s="173"/>
      <c r="G158" s="174"/>
      <c r="H158" s="173"/>
      <c r="I158" s="173"/>
      <c r="J158" s="175"/>
      <c r="K158" s="172"/>
    </row>
    <row r="159" spans="1:11" ht="15">
      <c r="A159" s="172"/>
      <c r="B159" s="172"/>
      <c r="C159" s="173"/>
      <c r="D159" s="173"/>
      <c r="E159" s="174"/>
      <c r="F159" s="173"/>
      <c r="G159" s="174"/>
      <c r="H159" s="173"/>
      <c r="I159" s="173"/>
      <c r="J159" s="175"/>
      <c r="K159" s="172"/>
    </row>
    <row r="160" spans="1:11" ht="15">
      <c r="A160" s="172"/>
      <c r="B160" s="172"/>
      <c r="C160" s="173"/>
      <c r="D160" s="173"/>
      <c r="E160" s="174"/>
      <c r="F160" s="173"/>
      <c r="G160" s="174"/>
      <c r="H160" s="173"/>
      <c r="I160" s="173"/>
      <c r="J160" s="175"/>
      <c r="K160" s="172"/>
    </row>
    <row r="161" spans="1:11" ht="15">
      <c r="A161" s="172"/>
      <c r="B161" s="172"/>
      <c r="C161" s="173"/>
      <c r="D161" s="173"/>
      <c r="E161" s="174"/>
      <c r="F161" s="173"/>
      <c r="G161" s="174"/>
      <c r="H161" s="173"/>
      <c r="I161" s="173"/>
      <c r="J161" s="175"/>
      <c r="K161" s="172"/>
    </row>
    <row r="162" spans="1:11" ht="15">
      <c r="A162" s="172"/>
      <c r="B162" s="172"/>
      <c r="C162" s="173"/>
      <c r="D162" s="173"/>
      <c r="E162" s="174"/>
      <c r="F162" s="173"/>
      <c r="G162" s="174"/>
      <c r="H162" s="173"/>
      <c r="I162" s="173"/>
      <c r="J162" s="175"/>
      <c r="K162" s="172"/>
    </row>
    <row r="163" spans="1:11" ht="15">
      <c r="A163" s="172"/>
      <c r="B163" s="172"/>
      <c r="C163" s="173"/>
      <c r="D163" s="173"/>
      <c r="E163" s="174"/>
      <c r="F163" s="173"/>
      <c r="G163" s="174"/>
      <c r="H163" s="173"/>
      <c r="I163" s="173"/>
      <c r="J163" s="175"/>
      <c r="K163" s="172"/>
    </row>
    <row r="164" spans="1:11" ht="15">
      <c r="A164" s="172"/>
      <c r="B164" s="172"/>
      <c r="C164" s="173"/>
      <c r="D164" s="173"/>
      <c r="E164" s="174"/>
      <c r="F164" s="173"/>
      <c r="G164" s="174"/>
      <c r="H164" s="173"/>
      <c r="I164" s="173"/>
      <c r="J164" s="175"/>
      <c r="K164" s="172"/>
    </row>
    <row r="165" spans="1:11" ht="15">
      <c r="A165" s="172"/>
      <c r="B165" s="172"/>
      <c r="C165" s="173"/>
      <c r="D165" s="173"/>
      <c r="E165" s="174"/>
      <c r="F165" s="173"/>
      <c r="G165" s="174"/>
      <c r="H165" s="173"/>
      <c r="I165" s="173"/>
      <c r="J165" s="175"/>
      <c r="K165" s="172"/>
    </row>
    <row r="166" spans="1:11" ht="15">
      <c r="A166" s="172"/>
      <c r="B166" s="172"/>
      <c r="C166" s="173"/>
      <c r="D166" s="173"/>
      <c r="E166" s="174"/>
      <c r="F166" s="173"/>
      <c r="G166" s="174"/>
      <c r="H166" s="173"/>
      <c r="I166" s="173"/>
      <c r="J166" s="175"/>
      <c r="K166" s="172"/>
    </row>
    <row r="167" spans="1:11" ht="15">
      <c r="A167" s="172"/>
      <c r="B167" s="172"/>
      <c r="C167" s="173"/>
      <c r="D167" s="173"/>
      <c r="E167" s="174"/>
      <c r="F167" s="173"/>
      <c r="G167" s="174"/>
      <c r="H167" s="173"/>
      <c r="I167" s="173"/>
      <c r="J167" s="175"/>
      <c r="K167" s="172"/>
    </row>
    <row r="168" spans="1:11" ht="15">
      <c r="A168" s="172"/>
      <c r="B168" s="172"/>
      <c r="C168" s="173"/>
      <c r="D168" s="173"/>
      <c r="E168" s="174"/>
      <c r="F168" s="173"/>
      <c r="G168" s="174"/>
      <c r="H168" s="173"/>
      <c r="I168" s="173"/>
      <c r="J168" s="175"/>
      <c r="K168" s="172"/>
    </row>
    <row r="169" spans="1:11" ht="15">
      <c r="A169" s="172"/>
      <c r="B169" s="172"/>
      <c r="C169" s="173"/>
      <c r="D169" s="173"/>
      <c r="E169" s="174"/>
      <c r="F169" s="173"/>
      <c r="G169" s="174"/>
      <c r="H169" s="173"/>
      <c r="I169" s="173"/>
      <c r="J169" s="175"/>
      <c r="K169" s="172"/>
    </row>
    <row r="170" spans="1:11" ht="15">
      <c r="A170" s="172"/>
      <c r="B170" s="172"/>
      <c r="C170" s="173"/>
      <c r="D170" s="173"/>
      <c r="E170" s="174"/>
      <c r="F170" s="173"/>
      <c r="G170" s="174"/>
      <c r="H170" s="173"/>
      <c r="I170" s="173"/>
      <c r="J170" s="175"/>
      <c r="K170" s="172"/>
    </row>
    <row r="171" spans="1:11" ht="15">
      <c r="A171" s="172"/>
      <c r="B171" s="172"/>
      <c r="C171" s="173"/>
      <c r="D171" s="173"/>
      <c r="E171" s="174"/>
      <c r="F171" s="173"/>
      <c r="G171" s="174"/>
      <c r="H171" s="173"/>
      <c r="I171" s="173"/>
      <c r="J171" s="175"/>
      <c r="K171" s="172"/>
    </row>
    <row r="172" spans="1:11" ht="15">
      <c r="A172" s="172"/>
      <c r="B172" s="172"/>
      <c r="C172" s="173"/>
      <c r="D172" s="173"/>
      <c r="E172" s="174"/>
      <c r="F172" s="173"/>
      <c r="G172" s="174"/>
      <c r="H172" s="173"/>
      <c r="I172" s="173"/>
      <c r="J172" s="175"/>
      <c r="K172" s="172"/>
    </row>
    <row r="173" spans="1:11" ht="15">
      <c r="A173" s="172"/>
      <c r="B173" s="172"/>
      <c r="C173" s="173"/>
      <c r="D173" s="173"/>
      <c r="E173" s="174"/>
      <c r="F173" s="173"/>
      <c r="G173" s="174"/>
      <c r="H173" s="173"/>
      <c r="I173" s="173"/>
      <c r="J173" s="175"/>
      <c r="K173" s="172"/>
    </row>
    <row r="174" spans="1:11" ht="15">
      <c r="A174" s="172"/>
      <c r="B174" s="172"/>
      <c r="C174" s="173"/>
      <c r="D174" s="173"/>
      <c r="E174" s="174"/>
      <c r="F174" s="173"/>
      <c r="G174" s="174"/>
      <c r="H174" s="173"/>
      <c r="I174" s="173"/>
      <c r="J174" s="175"/>
      <c r="K174" s="172"/>
    </row>
    <row r="175" spans="1:11" ht="15">
      <c r="A175" s="172"/>
      <c r="B175" s="172"/>
      <c r="C175" s="173"/>
      <c r="D175" s="173"/>
      <c r="E175" s="174"/>
      <c r="F175" s="173"/>
      <c r="G175" s="174"/>
      <c r="H175" s="173"/>
      <c r="I175" s="173"/>
      <c r="J175" s="175"/>
      <c r="K175" s="172"/>
    </row>
    <row r="176" spans="1:11" ht="15">
      <c r="A176" s="172"/>
      <c r="B176" s="172"/>
      <c r="C176" s="173"/>
      <c r="D176" s="173"/>
      <c r="E176" s="174"/>
      <c r="F176" s="173"/>
      <c r="G176" s="174"/>
      <c r="H176" s="173"/>
      <c r="I176" s="173"/>
      <c r="J176" s="175"/>
      <c r="K176" s="172"/>
    </row>
    <row r="177" spans="1:11" ht="15">
      <c r="A177" s="172"/>
      <c r="B177" s="172"/>
      <c r="C177" s="173"/>
      <c r="D177" s="173"/>
      <c r="E177" s="174"/>
      <c r="F177" s="173"/>
      <c r="G177" s="174"/>
      <c r="H177" s="173"/>
      <c r="I177" s="173"/>
      <c r="J177" s="175"/>
      <c r="K177" s="172"/>
    </row>
    <row r="178" spans="1:11" ht="15">
      <c r="A178" s="172"/>
      <c r="B178" s="172"/>
      <c r="C178" s="173"/>
      <c r="D178" s="173"/>
      <c r="E178" s="174"/>
      <c r="F178" s="173"/>
      <c r="G178" s="174"/>
      <c r="H178" s="173"/>
      <c r="I178" s="173"/>
      <c r="J178" s="175"/>
      <c r="K178" s="172"/>
    </row>
    <row r="179" spans="1:11" ht="15">
      <c r="A179" s="172"/>
      <c r="B179" s="172"/>
      <c r="C179" s="173"/>
      <c r="D179" s="173"/>
      <c r="E179" s="174"/>
      <c r="F179" s="173"/>
      <c r="G179" s="174"/>
      <c r="H179" s="173"/>
      <c r="I179" s="173"/>
      <c r="J179" s="175"/>
      <c r="K179" s="172"/>
    </row>
    <row r="180" spans="1:11" ht="15">
      <c r="A180" s="172"/>
      <c r="B180" s="172"/>
      <c r="C180" s="173"/>
      <c r="D180" s="173"/>
      <c r="E180" s="174"/>
      <c r="F180" s="173"/>
      <c r="G180" s="174"/>
      <c r="H180" s="173"/>
      <c r="I180" s="173"/>
      <c r="J180" s="175"/>
      <c r="K180" s="172"/>
    </row>
    <row r="181" spans="1:11" ht="15">
      <c r="A181" s="172"/>
      <c r="B181" s="172"/>
      <c r="C181" s="173"/>
      <c r="D181" s="173"/>
      <c r="E181" s="174"/>
      <c r="F181" s="173"/>
      <c r="G181" s="174"/>
      <c r="H181" s="173"/>
      <c r="I181" s="173"/>
      <c r="J181" s="175"/>
      <c r="K181" s="172"/>
    </row>
    <row r="182" spans="1:11" ht="15">
      <c r="A182" s="172"/>
      <c r="B182" s="172"/>
      <c r="C182" s="173"/>
      <c r="D182" s="173"/>
      <c r="E182" s="174"/>
      <c r="F182" s="173"/>
      <c r="G182" s="174"/>
      <c r="H182" s="173"/>
      <c r="I182" s="173"/>
      <c r="J182" s="175"/>
      <c r="K182" s="172"/>
    </row>
    <row r="183" spans="1:11" ht="15">
      <c r="A183" s="172"/>
      <c r="B183" s="172"/>
      <c r="C183" s="173"/>
      <c r="D183" s="173"/>
      <c r="E183" s="174"/>
      <c r="F183" s="173"/>
      <c r="G183" s="174"/>
      <c r="H183" s="173"/>
      <c r="I183" s="173"/>
      <c r="J183" s="175"/>
      <c r="K183" s="172"/>
    </row>
    <row r="184" spans="1:11" ht="15">
      <c r="A184" s="172"/>
      <c r="B184" s="172"/>
      <c r="C184" s="173"/>
      <c r="D184" s="173"/>
      <c r="E184" s="174"/>
      <c r="F184" s="173"/>
      <c r="G184" s="174"/>
      <c r="H184" s="173"/>
      <c r="I184" s="173"/>
      <c r="J184" s="175"/>
      <c r="K184" s="172"/>
    </row>
    <row r="185" spans="1:11" ht="15">
      <c r="A185" s="172"/>
      <c r="B185" s="172"/>
      <c r="C185" s="173"/>
      <c r="D185" s="173"/>
      <c r="E185" s="174"/>
      <c r="F185" s="173"/>
      <c r="G185" s="174"/>
      <c r="H185" s="173"/>
      <c r="I185" s="173"/>
      <c r="J185" s="175"/>
      <c r="K185" s="172"/>
    </row>
    <row r="186" spans="1:11" ht="15">
      <c r="A186" s="172"/>
      <c r="B186" s="172"/>
      <c r="C186" s="173"/>
      <c r="D186" s="173"/>
      <c r="E186" s="174"/>
      <c r="F186" s="173"/>
      <c r="G186" s="174"/>
      <c r="H186" s="173"/>
      <c r="I186" s="173"/>
      <c r="J186" s="175"/>
      <c r="K186" s="172"/>
    </row>
    <row r="187" spans="1:11" ht="15">
      <c r="A187" s="172"/>
      <c r="B187" s="172"/>
      <c r="C187" s="173"/>
      <c r="D187" s="173"/>
      <c r="E187" s="174"/>
      <c r="F187" s="173"/>
      <c r="G187" s="174"/>
      <c r="H187" s="173"/>
      <c r="I187" s="173"/>
      <c r="J187" s="175"/>
      <c r="K187" s="172"/>
    </row>
    <row r="188" spans="1:11" ht="15">
      <c r="A188" s="172"/>
      <c r="B188" s="172"/>
      <c r="C188" s="173"/>
      <c r="D188" s="173"/>
      <c r="E188" s="174"/>
      <c r="F188" s="173"/>
      <c r="G188" s="174"/>
      <c r="H188" s="173"/>
      <c r="I188" s="173"/>
      <c r="J188" s="175"/>
      <c r="K188" s="172"/>
    </row>
    <row r="189" spans="1:11" ht="15">
      <c r="A189" s="172"/>
      <c r="B189" s="172"/>
      <c r="C189" s="173"/>
      <c r="D189" s="173"/>
      <c r="E189" s="174"/>
      <c r="F189" s="173"/>
      <c r="G189" s="174"/>
      <c r="H189" s="173"/>
      <c r="I189" s="173"/>
      <c r="J189" s="175"/>
      <c r="K189" s="172"/>
    </row>
    <row r="190" spans="1:11" ht="15">
      <c r="A190" s="172"/>
      <c r="B190" s="172"/>
      <c r="C190" s="173"/>
      <c r="D190" s="173"/>
      <c r="E190" s="174"/>
      <c r="F190" s="173"/>
      <c r="G190" s="174"/>
      <c r="H190" s="173"/>
      <c r="I190" s="173"/>
      <c r="J190" s="175"/>
      <c r="K190" s="172"/>
    </row>
    <row r="191" spans="1:11" ht="15">
      <c r="A191" s="172"/>
      <c r="B191" s="172"/>
      <c r="C191" s="173"/>
      <c r="D191" s="173"/>
      <c r="E191" s="174"/>
      <c r="F191" s="173"/>
      <c r="G191" s="174"/>
      <c r="H191" s="173"/>
      <c r="I191" s="173"/>
      <c r="J191" s="175"/>
      <c r="K191" s="172"/>
    </row>
    <row r="192" spans="1:11" ht="15">
      <c r="A192" s="172"/>
      <c r="B192" s="172"/>
      <c r="C192" s="173"/>
      <c r="D192" s="173"/>
      <c r="E192" s="174"/>
      <c r="F192" s="173"/>
      <c r="G192" s="174"/>
      <c r="H192" s="173"/>
      <c r="I192" s="173"/>
      <c r="J192" s="175"/>
      <c r="K192" s="172"/>
    </row>
    <row r="193" spans="1:11" ht="15">
      <c r="A193" s="172"/>
      <c r="B193" s="172"/>
      <c r="C193" s="173"/>
      <c r="D193" s="173"/>
      <c r="E193" s="174"/>
      <c r="F193" s="173"/>
      <c r="G193" s="174"/>
      <c r="H193" s="173"/>
      <c r="I193" s="173"/>
      <c r="J193" s="175"/>
      <c r="K193" s="172"/>
    </row>
    <row r="194" spans="1:11" ht="15">
      <c r="A194" s="172"/>
      <c r="B194" s="172"/>
      <c r="C194" s="173"/>
      <c r="D194" s="173"/>
      <c r="E194" s="174"/>
      <c r="F194" s="173"/>
      <c r="G194" s="174"/>
      <c r="H194" s="173"/>
      <c r="I194" s="173"/>
      <c r="J194" s="175"/>
      <c r="K194" s="172"/>
    </row>
    <row r="195" spans="1:11" ht="15">
      <c r="A195" s="172"/>
      <c r="B195" s="172"/>
      <c r="C195" s="173"/>
      <c r="D195" s="173"/>
      <c r="E195" s="174"/>
      <c r="F195" s="173"/>
      <c r="G195" s="174"/>
      <c r="H195" s="173"/>
      <c r="I195" s="173"/>
      <c r="J195" s="175"/>
      <c r="K195" s="172"/>
    </row>
    <row r="196" spans="1:11" ht="15">
      <c r="A196" s="172"/>
      <c r="B196" s="172"/>
      <c r="C196" s="173"/>
      <c r="D196" s="173"/>
      <c r="E196" s="174"/>
      <c r="F196" s="173"/>
      <c r="G196" s="174"/>
      <c r="H196" s="173"/>
      <c r="I196" s="173"/>
      <c r="J196" s="175"/>
      <c r="K196" s="172"/>
    </row>
    <row r="197" spans="1:11" ht="15">
      <c r="A197" s="172"/>
      <c r="B197" s="172"/>
      <c r="C197" s="173"/>
      <c r="D197" s="173"/>
      <c r="E197" s="174"/>
      <c r="F197" s="173"/>
      <c r="G197" s="174"/>
      <c r="H197" s="173"/>
      <c r="I197" s="173"/>
      <c r="J197" s="175"/>
      <c r="K197" s="172"/>
    </row>
    <row r="198" spans="1:11" ht="15">
      <c r="A198" s="172"/>
      <c r="B198" s="172"/>
      <c r="C198" s="173"/>
      <c r="D198" s="173"/>
      <c r="E198" s="174"/>
      <c r="F198" s="173"/>
      <c r="G198" s="174"/>
      <c r="H198" s="173"/>
      <c r="I198" s="173"/>
      <c r="J198" s="175"/>
      <c r="K198" s="172"/>
    </row>
    <row r="199" spans="1:11" ht="15">
      <c r="A199" s="172"/>
      <c r="B199" s="172"/>
      <c r="C199" s="173"/>
      <c r="D199" s="173"/>
      <c r="E199" s="174"/>
      <c r="F199" s="173"/>
      <c r="G199" s="174"/>
      <c r="H199" s="173"/>
      <c r="I199" s="173"/>
      <c r="J199" s="175"/>
      <c r="K199" s="172"/>
    </row>
    <row r="200" spans="1:11" ht="15">
      <c r="A200" s="172"/>
      <c r="B200" s="172"/>
      <c r="C200" s="173"/>
      <c r="D200" s="173"/>
      <c r="E200" s="174"/>
      <c r="F200" s="173"/>
      <c r="G200" s="174"/>
      <c r="H200" s="173"/>
      <c r="I200" s="173"/>
      <c r="J200" s="175"/>
      <c r="K200" s="172"/>
    </row>
    <row r="201" spans="1:11" ht="15">
      <c r="A201" s="172"/>
      <c r="B201" s="172"/>
      <c r="C201" s="173"/>
      <c r="D201" s="173"/>
      <c r="E201" s="174"/>
      <c r="F201" s="173"/>
      <c r="G201" s="174"/>
      <c r="H201" s="173"/>
      <c r="I201" s="173"/>
      <c r="J201" s="175"/>
      <c r="K201" s="172"/>
    </row>
    <row r="202" spans="1:11" ht="15">
      <c r="A202" s="172"/>
      <c r="B202" s="172"/>
      <c r="C202" s="173"/>
      <c r="D202" s="173"/>
      <c r="E202" s="174"/>
      <c r="F202" s="173"/>
      <c r="G202" s="174"/>
      <c r="H202" s="173"/>
      <c r="I202" s="173"/>
      <c r="J202" s="175"/>
      <c r="K202" s="172"/>
    </row>
    <row r="203" spans="1:11" ht="15">
      <c r="A203" s="172"/>
      <c r="B203" s="172"/>
      <c r="C203" s="173"/>
      <c r="D203" s="173"/>
      <c r="E203" s="174"/>
      <c r="F203" s="173"/>
      <c r="G203" s="174"/>
      <c r="H203" s="173"/>
      <c r="I203" s="173"/>
      <c r="J203" s="175"/>
      <c r="K203" s="172"/>
    </row>
    <row r="204" spans="1:11" ht="15">
      <c r="A204" s="172"/>
      <c r="B204" s="172"/>
      <c r="C204" s="173"/>
      <c r="D204" s="173"/>
      <c r="E204" s="174"/>
      <c r="F204" s="173"/>
      <c r="G204" s="174"/>
      <c r="H204" s="173"/>
      <c r="I204" s="173"/>
      <c r="J204" s="175"/>
      <c r="K204" s="172"/>
    </row>
    <row r="205" spans="1:11" ht="15">
      <c r="A205" s="172"/>
      <c r="B205" s="172"/>
      <c r="C205" s="173"/>
      <c r="D205" s="173"/>
      <c r="E205" s="174"/>
      <c r="F205" s="173"/>
      <c r="G205" s="174"/>
      <c r="H205" s="173"/>
      <c r="I205" s="173"/>
      <c r="J205" s="175"/>
      <c r="K205" s="172"/>
    </row>
    <row r="206" spans="1:11" ht="15">
      <c r="A206" s="172"/>
      <c r="B206" s="172"/>
      <c r="C206" s="173"/>
      <c r="D206" s="173"/>
      <c r="E206" s="174"/>
      <c r="F206" s="173"/>
      <c r="G206" s="174"/>
      <c r="H206" s="173"/>
      <c r="I206" s="173"/>
      <c r="J206" s="175"/>
      <c r="K206" s="172"/>
    </row>
    <row r="207" spans="1:11" ht="15">
      <c r="A207" s="172"/>
      <c r="B207" s="172"/>
      <c r="C207" s="173"/>
      <c r="D207" s="173"/>
      <c r="E207" s="174"/>
      <c r="F207" s="173"/>
      <c r="G207" s="174"/>
      <c r="H207" s="173"/>
      <c r="I207" s="173"/>
      <c r="J207" s="175"/>
      <c r="K207" s="172"/>
    </row>
    <row r="208" spans="1:11" ht="15">
      <c r="A208" s="172"/>
      <c r="B208" s="172"/>
      <c r="C208" s="173"/>
      <c r="D208" s="173"/>
      <c r="E208" s="174"/>
      <c r="F208" s="173"/>
      <c r="G208" s="174"/>
      <c r="H208" s="173"/>
      <c r="I208" s="173"/>
      <c r="J208" s="175"/>
      <c r="K208" s="172"/>
    </row>
    <row r="209" spans="1:11" ht="15">
      <c r="A209" s="172"/>
      <c r="B209" s="172"/>
      <c r="C209" s="173"/>
      <c r="D209" s="173"/>
      <c r="E209" s="174"/>
      <c r="F209" s="173"/>
      <c r="G209" s="174"/>
      <c r="H209" s="173"/>
      <c r="I209" s="173"/>
      <c r="J209" s="175"/>
      <c r="K209" s="172"/>
    </row>
    <row r="210" spans="1:11" ht="15">
      <c r="A210" s="172"/>
      <c r="B210" s="172"/>
      <c r="C210" s="173"/>
      <c r="D210" s="173"/>
      <c r="E210" s="174"/>
      <c r="F210" s="173"/>
      <c r="G210" s="174"/>
      <c r="H210" s="173"/>
      <c r="I210" s="173"/>
      <c r="J210" s="175"/>
      <c r="K210" s="172"/>
    </row>
    <row r="211" spans="1:11" ht="15">
      <c r="A211" s="172"/>
      <c r="B211" s="172"/>
      <c r="C211" s="173"/>
      <c r="D211" s="173"/>
      <c r="E211" s="174"/>
      <c r="F211" s="173"/>
      <c r="G211" s="174"/>
      <c r="H211" s="173"/>
      <c r="I211" s="173"/>
      <c r="J211" s="175"/>
      <c r="K211" s="172"/>
    </row>
    <row r="212" spans="1:11" ht="15">
      <c r="A212" s="172"/>
      <c r="B212" s="172"/>
      <c r="C212" s="173"/>
      <c r="D212" s="173"/>
      <c r="E212" s="174"/>
      <c r="F212" s="173"/>
      <c r="G212" s="174"/>
      <c r="H212" s="173"/>
      <c r="I212" s="173"/>
      <c r="J212" s="175"/>
      <c r="K212" s="172"/>
    </row>
    <row r="213" spans="1:11" ht="15">
      <c r="A213" s="172"/>
      <c r="B213" s="172"/>
      <c r="C213" s="173"/>
      <c r="D213" s="173"/>
      <c r="E213" s="174"/>
      <c r="F213" s="173"/>
      <c r="G213" s="174"/>
      <c r="H213" s="173"/>
      <c r="I213" s="173"/>
      <c r="J213" s="175"/>
      <c r="K213" s="172"/>
    </row>
    <row r="214" spans="1:11" ht="15">
      <c r="A214" s="172"/>
      <c r="B214" s="172"/>
      <c r="C214" s="173"/>
      <c r="D214" s="173"/>
      <c r="E214" s="174"/>
      <c r="F214" s="173"/>
      <c r="G214" s="174"/>
      <c r="H214" s="173"/>
      <c r="I214" s="173"/>
      <c r="J214" s="175"/>
      <c r="K214" s="172"/>
    </row>
    <row r="215" spans="1:11" ht="15">
      <c r="A215" s="172"/>
      <c r="B215" s="172"/>
      <c r="C215" s="173"/>
      <c r="D215" s="173"/>
      <c r="E215" s="174"/>
      <c r="F215" s="173"/>
      <c r="G215" s="174"/>
      <c r="H215" s="173"/>
      <c r="I215" s="173"/>
      <c r="J215" s="175"/>
      <c r="K215" s="172"/>
    </row>
    <row r="216" spans="1:11" ht="15">
      <c r="A216" s="172"/>
      <c r="B216" s="172"/>
      <c r="C216" s="173"/>
      <c r="D216" s="173"/>
      <c r="E216" s="174"/>
      <c r="F216" s="173"/>
      <c r="G216" s="174"/>
      <c r="H216" s="173"/>
      <c r="I216" s="173"/>
      <c r="J216" s="175"/>
      <c r="K216" s="172"/>
    </row>
    <row r="217" spans="1:11" ht="15">
      <c r="A217" s="172"/>
      <c r="B217" s="172"/>
      <c r="C217" s="173"/>
      <c r="D217" s="173"/>
      <c r="E217" s="174"/>
      <c r="F217" s="173"/>
      <c r="G217" s="174"/>
      <c r="H217" s="173"/>
      <c r="I217" s="173"/>
      <c r="J217" s="175"/>
      <c r="K217" s="172"/>
    </row>
    <row r="218" spans="1:11" ht="15">
      <c r="A218" s="172"/>
      <c r="B218" s="172"/>
      <c r="C218" s="173"/>
      <c r="D218" s="173"/>
      <c r="E218" s="174"/>
      <c r="F218" s="173"/>
      <c r="G218" s="174"/>
      <c r="H218" s="173"/>
      <c r="I218" s="173"/>
      <c r="J218" s="175"/>
      <c r="K218" s="172"/>
    </row>
    <row r="219" spans="1:11" ht="15">
      <c r="A219" s="172"/>
      <c r="B219" s="172"/>
      <c r="C219" s="173"/>
      <c r="D219" s="173"/>
      <c r="E219" s="174"/>
      <c r="F219" s="173"/>
      <c r="G219" s="174"/>
      <c r="H219" s="173"/>
      <c r="I219" s="173"/>
      <c r="J219" s="175"/>
      <c r="K219" s="172"/>
    </row>
    <row r="220" spans="1:11" ht="15">
      <c r="A220" s="172"/>
      <c r="B220" s="172"/>
      <c r="C220" s="173"/>
      <c r="D220" s="173"/>
      <c r="E220" s="174"/>
      <c r="F220" s="173"/>
      <c r="G220" s="174"/>
      <c r="H220" s="173"/>
      <c r="I220" s="173"/>
      <c r="J220" s="175"/>
      <c r="K220" s="172"/>
    </row>
    <row r="221" spans="1:11" ht="15">
      <c r="A221" s="172"/>
      <c r="B221" s="172"/>
      <c r="C221" s="173"/>
      <c r="D221" s="173"/>
      <c r="E221" s="174"/>
      <c r="F221" s="173"/>
      <c r="G221" s="174"/>
      <c r="H221" s="173"/>
      <c r="I221" s="173"/>
      <c r="J221" s="175"/>
      <c r="K221" s="172"/>
    </row>
    <row r="222" spans="1:11" ht="15">
      <c r="A222" s="172"/>
      <c r="B222" s="172"/>
      <c r="C222" s="173"/>
      <c r="D222" s="173"/>
      <c r="E222" s="174"/>
      <c r="F222" s="173"/>
      <c r="G222" s="174"/>
      <c r="H222" s="173"/>
      <c r="I222" s="173"/>
      <c r="J222" s="175"/>
      <c r="K222" s="172"/>
    </row>
    <row r="223" spans="1:11" ht="15">
      <c r="A223" s="172"/>
      <c r="B223" s="172"/>
      <c r="C223" s="173"/>
      <c r="D223" s="173"/>
      <c r="E223" s="174"/>
      <c r="F223" s="173"/>
      <c r="G223" s="174"/>
      <c r="H223" s="173"/>
      <c r="I223" s="173"/>
      <c r="J223" s="175"/>
      <c r="K223" s="172"/>
    </row>
    <row r="224" spans="1:11" ht="15">
      <c r="A224" s="172"/>
      <c r="B224" s="172"/>
      <c r="C224" s="173"/>
      <c r="D224" s="173"/>
      <c r="E224" s="174"/>
      <c r="F224" s="173"/>
      <c r="G224" s="174"/>
      <c r="H224" s="173"/>
      <c r="I224" s="173"/>
      <c r="J224" s="175"/>
      <c r="K224" s="172"/>
    </row>
    <row r="225" spans="1:11" ht="15">
      <c r="A225" s="172"/>
      <c r="B225" s="172"/>
      <c r="C225" s="173"/>
      <c r="D225" s="173"/>
      <c r="E225" s="174"/>
      <c r="F225" s="173"/>
      <c r="G225" s="174"/>
      <c r="H225" s="173"/>
      <c r="I225" s="173"/>
      <c r="J225" s="175"/>
      <c r="K225" s="172"/>
    </row>
    <row r="226" spans="1:11" ht="15">
      <c r="A226" s="172"/>
      <c r="B226" s="172"/>
      <c r="C226" s="173"/>
      <c r="D226" s="173"/>
      <c r="E226" s="174"/>
      <c r="F226" s="173"/>
      <c r="G226" s="174"/>
      <c r="H226" s="173"/>
      <c r="I226" s="173"/>
      <c r="J226" s="175"/>
      <c r="K226" s="172"/>
    </row>
    <row r="227" spans="1:11" ht="15">
      <c r="A227" s="172"/>
      <c r="B227" s="172"/>
      <c r="C227" s="173"/>
      <c r="D227" s="173"/>
      <c r="E227" s="174"/>
      <c r="F227" s="173"/>
      <c r="G227" s="174"/>
      <c r="H227" s="173"/>
      <c r="I227" s="173"/>
      <c r="J227" s="175"/>
      <c r="K227" s="172"/>
    </row>
    <row r="228" spans="1:11" ht="15">
      <c r="A228" s="172"/>
      <c r="B228" s="172"/>
      <c r="C228" s="173"/>
      <c r="D228" s="173"/>
      <c r="E228" s="174"/>
      <c r="F228" s="173"/>
      <c r="G228" s="174"/>
      <c r="H228" s="173"/>
      <c r="I228" s="173"/>
      <c r="J228" s="175"/>
      <c r="K228" s="172"/>
    </row>
    <row r="229" spans="1:11" ht="15">
      <c r="A229" s="172"/>
      <c r="B229" s="172"/>
      <c r="C229" s="173"/>
      <c r="D229" s="173"/>
      <c r="E229" s="174"/>
      <c r="F229" s="173"/>
      <c r="G229" s="174"/>
      <c r="H229" s="173"/>
      <c r="I229" s="173"/>
      <c r="J229" s="175"/>
      <c r="K229" s="172"/>
    </row>
    <row r="230" spans="1:11" ht="15">
      <c r="A230" s="172"/>
      <c r="B230" s="172"/>
      <c r="C230" s="173"/>
      <c r="D230" s="173"/>
      <c r="E230" s="174"/>
      <c r="F230" s="173"/>
      <c r="G230" s="174"/>
      <c r="H230" s="173"/>
      <c r="I230" s="173"/>
      <c r="J230" s="175"/>
      <c r="K230" s="172"/>
    </row>
    <row r="231" spans="1:11" ht="15">
      <c r="A231" s="172"/>
      <c r="B231" s="172"/>
      <c r="C231" s="173"/>
      <c r="D231" s="173"/>
      <c r="E231" s="174"/>
      <c r="F231" s="173"/>
      <c r="G231" s="174"/>
      <c r="H231" s="173"/>
      <c r="I231" s="173"/>
      <c r="J231" s="175"/>
      <c r="K231" s="172"/>
    </row>
    <row r="232" spans="1:11" ht="15">
      <c r="A232" s="172"/>
      <c r="B232" s="172"/>
      <c r="C232" s="173"/>
      <c r="D232" s="173"/>
      <c r="E232" s="174"/>
      <c r="F232" s="173"/>
      <c r="G232" s="174"/>
      <c r="H232" s="173"/>
      <c r="I232" s="173"/>
      <c r="J232" s="175"/>
      <c r="K232" s="172"/>
    </row>
    <row r="233" spans="1:11" ht="15">
      <c r="A233" s="172"/>
      <c r="B233" s="172"/>
      <c r="C233" s="173"/>
      <c r="D233" s="173"/>
      <c r="E233" s="174"/>
      <c r="F233" s="173"/>
      <c r="G233" s="174"/>
      <c r="H233" s="173"/>
      <c r="I233" s="173"/>
      <c r="J233" s="175"/>
      <c r="K233" s="172"/>
    </row>
    <row r="234" spans="1:11" ht="15">
      <c r="A234" s="172"/>
      <c r="B234" s="172"/>
      <c r="C234" s="173"/>
      <c r="D234" s="173"/>
      <c r="E234" s="174"/>
      <c r="F234" s="173"/>
      <c r="G234" s="174"/>
      <c r="H234" s="173"/>
      <c r="I234" s="173"/>
      <c r="J234" s="175"/>
      <c r="K234" s="172"/>
    </row>
    <row r="235" spans="1:11" ht="15">
      <c r="A235" s="172"/>
      <c r="B235" s="172"/>
      <c r="C235" s="173"/>
      <c r="D235" s="173"/>
      <c r="E235" s="174"/>
      <c r="F235" s="173"/>
      <c r="G235" s="174"/>
      <c r="H235" s="173"/>
      <c r="I235" s="173"/>
      <c r="J235" s="175"/>
      <c r="K235" s="172"/>
    </row>
    <row r="236" spans="1:11" ht="15">
      <c r="A236" s="172"/>
      <c r="B236" s="172"/>
      <c r="C236" s="173"/>
      <c r="D236" s="173"/>
      <c r="E236" s="174"/>
      <c r="F236" s="173"/>
      <c r="G236" s="174"/>
      <c r="H236" s="173"/>
      <c r="I236" s="173"/>
      <c r="J236" s="175"/>
      <c r="K236" s="172"/>
    </row>
    <row r="237" spans="1:11" ht="15">
      <c r="A237" s="172"/>
      <c r="B237" s="172"/>
      <c r="C237" s="173"/>
      <c r="D237" s="173"/>
      <c r="E237" s="174"/>
      <c r="F237" s="173"/>
      <c r="G237" s="174"/>
      <c r="H237" s="173"/>
      <c r="I237" s="173"/>
      <c r="J237" s="175"/>
      <c r="K237" s="172"/>
    </row>
    <row r="238" spans="1:11" ht="15">
      <c r="A238" s="172"/>
      <c r="B238" s="172"/>
      <c r="C238" s="173"/>
      <c r="D238" s="173"/>
      <c r="E238" s="174"/>
      <c r="F238" s="173"/>
      <c r="G238" s="174"/>
      <c r="H238" s="173"/>
      <c r="I238" s="173"/>
      <c r="J238" s="175"/>
      <c r="K238" s="172"/>
    </row>
    <row r="239" spans="1:11" ht="15">
      <c r="A239" s="172"/>
      <c r="B239" s="172"/>
      <c r="C239" s="173"/>
      <c r="D239" s="173"/>
      <c r="E239" s="174"/>
      <c r="F239" s="173"/>
      <c r="G239" s="174"/>
      <c r="H239" s="173"/>
      <c r="I239" s="173"/>
      <c r="J239" s="175"/>
      <c r="K239" s="172"/>
    </row>
    <row r="240" spans="1:11" ht="15">
      <c r="A240" s="172"/>
      <c r="B240" s="172"/>
      <c r="C240" s="173"/>
      <c r="D240" s="173"/>
      <c r="E240" s="174"/>
      <c r="F240" s="173"/>
      <c r="G240" s="174"/>
      <c r="H240" s="173"/>
      <c r="I240" s="173"/>
      <c r="J240" s="175"/>
      <c r="K240" s="172"/>
    </row>
    <row r="241" spans="1:11" ht="15">
      <c r="A241" s="172"/>
      <c r="B241" s="172"/>
      <c r="C241" s="173"/>
      <c r="D241" s="173"/>
      <c r="E241" s="174"/>
      <c r="F241" s="173"/>
      <c r="G241" s="174"/>
      <c r="H241" s="173"/>
      <c r="I241" s="173"/>
      <c r="J241" s="175"/>
      <c r="K241" s="172"/>
    </row>
    <row r="242" spans="1:11" ht="15">
      <c r="A242" s="172"/>
      <c r="B242" s="172"/>
      <c r="C242" s="173"/>
      <c r="D242" s="173"/>
      <c r="E242" s="174"/>
      <c r="F242" s="173"/>
      <c r="G242" s="174"/>
      <c r="H242" s="173"/>
      <c r="I242" s="173"/>
      <c r="J242" s="175"/>
      <c r="K242" s="172"/>
    </row>
    <row r="243" spans="1:11" ht="15">
      <c r="A243" s="172"/>
      <c r="B243" s="172"/>
      <c r="C243" s="173"/>
      <c r="D243" s="173"/>
      <c r="E243" s="174"/>
      <c r="F243" s="173"/>
      <c r="G243" s="174"/>
      <c r="H243" s="173"/>
      <c r="I243" s="173"/>
      <c r="J243" s="175"/>
      <c r="K243" s="172"/>
    </row>
    <row r="244" spans="1:11" ht="15">
      <c r="A244" s="172"/>
      <c r="B244" s="172"/>
      <c r="C244" s="173"/>
      <c r="D244" s="173"/>
      <c r="E244" s="174"/>
      <c r="F244" s="173"/>
      <c r="G244" s="174"/>
      <c r="H244" s="173"/>
      <c r="I244" s="173"/>
      <c r="J244" s="175"/>
      <c r="K244" s="172"/>
    </row>
    <row r="245" spans="1:11" ht="15">
      <c r="A245" s="172"/>
      <c r="B245" s="172"/>
      <c r="C245" s="173"/>
      <c r="D245" s="173"/>
      <c r="E245" s="174"/>
      <c r="F245" s="173"/>
      <c r="G245" s="174"/>
      <c r="H245" s="173"/>
      <c r="I245" s="173"/>
      <c r="J245" s="175"/>
      <c r="K245" s="172"/>
    </row>
    <row r="246" spans="1:11" ht="15">
      <c r="A246" s="172"/>
      <c r="B246" s="172"/>
      <c r="C246" s="173"/>
      <c r="D246" s="173"/>
      <c r="E246" s="174"/>
      <c r="F246" s="173"/>
      <c r="G246" s="174"/>
      <c r="H246" s="173"/>
      <c r="I246" s="173"/>
      <c r="J246" s="175"/>
      <c r="K246" s="172"/>
    </row>
    <row r="247" spans="1:11" ht="15">
      <c r="A247" s="172"/>
      <c r="B247" s="172"/>
      <c r="C247" s="173"/>
      <c r="D247" s="173"/>
      <c r="E247" s="174"/>
      <c r="F247" s="173"/>
      <c r="G247" s="174"/>
      <c r="H247" s="173"/>
      <c r="I247" s="173"/>
      <c r="J247" s="175"/>
      <c r="K247" s="172"/>
    </row>
    <row r="248" spans="1:11" ht="15">
      <c r="A248" s="172"/>
      <c r="B248" s="172"/>
      <c r="C248" s="173"/>
      <c r="D248" s="173"/>
      <c r="E248" s="174"/>
      <c r="F248" s="173"/>
      <c r="G248" s="174"/>
      <c r="H248" s="173"/>
      <c r="I248" s="173"/>
      <c r="J248" s="175"/>
      <c r="K248" s="172"/>
    </row>
    <row r="249" spans="1:11" ht="15">
      <c r="A249" s="172"/>
      <c r="B249" s="172"/>
      <c r="C249" s="173"/>
      <c r="D249" s="173"/>
      <c r="E249" s="174"/>
      <c r="F249" s="173"/>
      <c r="G249" s="174"/>
      <c r="H249" s="173"/>
      <c r="I249" s="173"/>
      <c r="J249" s="175"/>
      <c r="K249" s="172"/>
    </row>
    <row r="250" spans="1:11" ht="15">
      <c r="A250" s="172"/>
      <c r="B250" s="172"/>
      <c r="C250" s="173"/>
      <c r="D250" s="173"/>
      <c r="E250" s="174"/>
      <c r="F250" s="173"/>
      <c r="G250" s="174"/>
      <c r="H250" s="173"/>
      <c r="I250" s="173"/>
      <c r="J250" s="175"/>
      <c r="K250" s="172"/>
    </row>
    <row r="251" spans="1:11" ht="15">
      <c r="A251" s="172"/>
      <c r="B251" s="172"/>
      <c r="C251" s="173"/>
      <c r="D251" s="173"/>
      <c r="E251" s="174"/>
      <c r="F251" s="173"/>
      <c r="G251" s="174"/>
      <c r="H251" s="173"/>
      <c r="I251" s="173"/>
      <c r="J251" s="175"/>
      <c r="K251" s="172"/>
    </row>
    <row r="252" spans="1:11" ht="15">
      <c r="A252" s="172"/>
      <c r="B252" s="172"/>
      <c r="C252" s="173"/>
      <c r="D252" s="173"/>
      <c r="E252" s="174"/>
      <c r="F252" s="173"/>
      <c r="G252" s="174"/>
      <c r="H252" s="173"/>
      <c r="I252" s="173"/>
      <c r="J252" s="175"/>
      <c r="K252" s="172"/>
    </row>
    <row r="253" spans="1:11" ht="15">
      <c r="A253" s="172"/>
      <c r="B253" s="172"/>
      <c r="C253" s="173"/>
      <c r="D253" s="173"/>
      <c r="E253" s="174"/>
      <c r="F253" s="173"/>
      <c r="G253" s="174"/>
      <c r="H253" s="173"/>
      <c r="I253" s="173"/>
      <c r="J253" s="175"/>
      <c r="K253" s="172"/>
    </row>
    <row r="254" spans="1:11" ht="15">
      <c r="A254" s="172"/>
      <c r="B254" s="172"/>
      <c r="C254" s="173"/>
      <c r="D254" s="173"/>
      <c r="E254" s="174"/>
      <c r="F254" s="173"/>
      <c r="G254" s="174"/>
      <c r="H254" s="173"/>
      <c r="I254" s="173"/>
      <c r="J254" s="175"/>
      <c r="K254" s="172"/>
    </row>
    <row r="255" spans="1:11" ht="15">
      <c r="A255" s="172"/>
      <c r="B255" s="172"/>
      <c r="C255" s="173"/>
      <c r="D255" s="173"/>
      <c r="E255" s="174"/>
      <c r="F255" s="173"/>
      <c r="G255" s="174"/>
      <c r="H255" s="173"/>
      <c r="I255" s="173"/>
      <c r="J255" s="175"/>
      <c r="K255" s="172"/>
    </row>
    <row r="256" spans="1:11" ht="15">
      <c r="A256" s="172"/>
      <c r="B256" s="172"/>
      <c r="C256" s="173"/>
      <c r="D256" s="173"/>
      <c r="E256" s="174"/>
      <c r="F256" s="173"/>
      <c r="G256" s="174"/>
      <c r="H256" s="173"/>
      <c r="I256" s="173"/>
      <c r="J256" s="175"/>
      <c r="K256" s="172"/>
    </row>
    <row r="257" spans="1:11" ht="15">
      <c r="A257" s="172"/>
      <c r="B257" s="172"/>
      <c r="C257" s="173"/>
      <c r="D257" s="173"/>
      <c r="E257" s="174"/>
      <c r="F257" s="173"/>
      <c r="G257" s="174"/>
      <c r="H257" s="173"/>
      <c r="I257" s="173"/>
      <c r="J257" s="175"/>
      <c r="K257" s="172"/>
    </row>
    <row r="258" spans="1:11" ht="15">
      <c r="A258" s="172"/>
      <c r="B258" s="172"/>
      <c r="C258" s="173"/>
      <c r="D258" s="173"/>
      <c r="E258" s="174"/>
      <c r="F258" s="173"/>
      <c r="G258" s="174"/>
      <c r="H258" s="173"/>
      <c r="I258" s="173"/>
      <c r="J258" s="175"/>
      <c r="K258" s="172"/>
    </row>
    <row r="259" spans="1:11" ht="15">
      <c r="A259" s="172"/>
      <c r="B259" s="172"/>
      <c r="C259" s="173"/>
      <c r="D259" s="173"/>
      <c r="E259" s="174"/>
      <c r="F259" s="173"/>
      <c r="G259" s="174"/>
      <c r="H259" s="173"/>
      <c r="I259" s="173"/>
      <c r="J259" s="175"/>
      <c r="K259" s="172"/>
    </row>
    <row r="260" spans="1:11" ht="15">
      <c r="A260" s="172"/>
      <c r="B260" s="172"/>
      <c r="C260" s="173"/>
      <c r="D260" s="173"/>
      <c r="E260" s="174"/>
      <c r="F260" s="173"/>
      <c r="G260" s="174"/>
      <c r="H260" s="173"/>
      <c r="I260" s="173"/>
      <c r="J260" s="175"/>
      <c r="K260" s="172"/>
    </row>
    <row r="261" spans="1:11" ht="15">
      <c r="A261" s="172"/>
      <c r="B261" s="172"/>
      <c r="C261" s="173"/>
      <c r="D261" s="173"/>
      <c r="E261" s="174"/>
      <c r="F261" s="173"/>
      <c r="G261" s="174"/>
      <c r="H261" s="173"/>
      <c r="I261" s="173"/>
      <c r="J261" s="175"/>
      <c r="K261" s="172"/>
    </row>
    <row r="262" spans="1:11" ht="15">
      <c r="A262" s="172"/>
      <c r="B262" s="172"/>
      <c r="C262" s="173"/>
      <c r="D262" s="173"/>
      <c r="E262" s="174"/>
      <c r="F262" s="173"/>
      <c r="G262" s="174"/>
      <c r="H262" s="173"/>
      <c r="I262" s="173"/>
      <c r="J262" s="175"/>
      <c r="K262" s="172"/>
    </row>
    <row r="263" spans="1:11" ht="15">
      <c r="A263" s="172"/>
      <c r="B263" s="172"/>
      <c r="C263" s="173"/>
      <c r="D263" s="173"/>
      <c r="E263" s="174"/>
      <c r="F263" s="173"/>
      <c r="G263" s="174"/>
      <c r="H263" s="173"/>
      <c r="I263" s="173"/>
      <c r="J263" s="175"/>
      <c r="K263" s="172"/>
    </row>
    <row r="264" spans="1:11" ht="15">
      <c r="A264" s="172"/>
      <c r="B264" s="172"/>
      <c r="C264" s="173"/>
      <c r="D264" s="173"/>
      <c r="E264" s="174"/>
      <c r="F264" s="173"/>
      <c r="G264" s="174"/>
      <c r="H264" s="173"/>
      <c r="I264" s="173"/>
      <c r="J264" s="175"/>
      <c r="K264" s="172"/>
    </row>
    <row r="265" spans="1:11" ht="15">
      <c r="A265" s="172"/>
      <c r="B265" s="172"/>
      <c r="C265" s="173"/>
      <c r="D265" s="173"/>
      <c r="E265" s="174"/>
      <c r="F265" s="173"/>
      <c r="G265" s="174"/>
      <c r="H265" s="173"/>
      <c r="I265" s="173"/>
      <c r="J265" s="175"/>
      <c r="K265" s="172"/>
    </row>
    <row r="266" spans="1:11" ht="15">
      <c r="A266" s="172"/>
      <c r="B266" s="172"/>
      <c r="C266" s="173"/>
      <c r="D266" s="173"/>
      <c r="E266" s="174"/>
      <c r="F266" s="173"/>
      <c r="G266" s="174"/>
      <c r="H266" s="173"/>
      <c r="I266" s="173"/>
      <c r="J266" s="175"/>
      <c r="K266" s="172"/>
    </row>
    <row r="267" spans="1:11" ht="15">
      <c r="A267" s="172"/>
      <c r="B267" s="172"/>
      <c r="C267" s="173"/>
      <c r="D267" s="173"/>
      <c r="E267" s="174"/>
      <c r="F267" s="173"/>
      <c r="G267" s="174"/>
      <c r="H267" s="173"/>
      <c r="I267" s="173"/>
      <c r="J267" s="175"/>
      <c r="K267" s="172"/>
    </row>
    <row r="268" spans="1:11" ht="15">
      <c r="A268" s="172"/>
      <c r="B268" s="172"/>
      <c r="C268" s="173"/>
      <c r="D268" s="173"/>
      <c r="E268" s="174"/>
      <c r="F268" s="173"/>
      <c r="G268" s="174"/>
      <c r="H268" s="173"/>
      <c r="I268" s="173"/>
      <c r="J268" s="175"/>
      <c r="K268" s="172"/>
    </row>
    <row r="269" spans="1:11" ht="15">
      <c r="A269" s="172"/>
      <c r="B269" s="172"/>
      <c r="C269" s="173"/>
      <c r="D269" s="173"/>
      <c r="E269" s="174"/>
      <c r="F269" s="173"/>
      <c r="G269" s="174"/>
      <c r="H269" s="173"/>
      <c r="I269" s="173"/>
      <c r="J269" s="175"/>
      <c r="K269" s="172"/>
    </row>
    <row r="270" spans="1:11" ht="15">
      <c r="A270" s="172"/>
      <c r="B270" s="172"/>
      <c r="C270" s="173"/>
      <c r="D270" s="173"/>
      <c r="E270" s="174"/>
      <c r="F270" s="173"/>
      <c r="G270" s="174"/>
      <c r="H270" s="173"/>
      <c r="I270" s="173"/>
      <c r="J270" s="175"/>
      <c r="K270" s="172"/>
    </row>
    <row r="271" spans="1:11" ht="15">
      <c r="A271" s="172"/>
      <c r="B271" s="172"/>
      <c r="C271" s="173"/>
      <c r="D271" s="173"/>
      <c r="E271" s="174"/>
      <c r="F271" s="173"/>
      <c r="G271" s="174"/>
      <c r="H271" s="173"/>
      <c r="I271" s="173"/>
      <c r="J271" s="175"/>
      <c r="K271" s="172"/>
    </row>
    <row r="272" spans="1:11" ht="15">
      <c r="A272" s="172"/>
      <c r="B272" s="172"/>
      <c r="C272" s="173"/>
      <c r="D272" s="173"/>
      <c r="E272" s="174"/>
      <c r="F272" s="173"/>
      <c r="G272" s="174"/>
      <c r="H272" s="173"/>
      <c r="I272" s="173"/>
      <c r="J272" s="175"/>
      <c r="K272" s="172"/>
    </row>
    <row r="273" spans="1:11" ht="15">
      <c r="A273" s="172"/>
      <c r="B273" s="172"/>
      <c r="C273" s="173"/>
      <c r="D273" s="173"/>
      <c r="E273" s="174"/>
      <c r="F273" s="173"/>
      <c r="G273" s="174"/>
      <c r="H273" s="173"/>
      <c r="I273" s="173"/>
      <c r="J273" s="175"/>
      <c r="K273" s="172"/>
    </row>
  </sheetData>
  <sheetProtection/>
  <mergeCells count="6">
    <mergeCell ref="F5:H5"/>
    <mergeCell ref="F8:J10"/>
    <mergeCell ref="F11:J13"/>
    <mergeCell ref="F23:J23"/>
    <mergeCell ref="G25:H25"/>
    <mergeCell ref="B85:G85"/>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codeName="Feuil6"/>
  <dimension ref="A1:K273"/>
  <sheetViews>
    <sheetView zoomScalePageLayoutView="0" workbookViewId="0" topLeftCell="A1">
      <selection activeCell="C2" sqref="C2"/>
    </sheetView>
  </sheetViews>
  <sheetFormatPr defaultColWidth="11.421875" defaultRowHeight="15"/>
  <cols>
    <col min="1" max="1" width="3.57421875" style="157" customWidth="1"/>
    <col min="2" max="2" width="35.8515625" style="157" bestFit="1" customWidth="1"/>
    <col min="3" max="3" width="20.140625" style="139" customWidth="1"/>
    <col min="4" max="4" width="9.00390625" style="139" hidden="1" customWidth="1"/>
    <col min="5" max="5" width="12.57421875" style="158" customWidth="1"/>
    <col min="6" max="6" width="15.7109375" style="139" customWidth="1"/>
    <col min="7" max="7" width="14.00390625" style="158" bestFit="1" customWidth="1"/>
    <col min="8" max="8" width="16.00390625" style="139" customWidth="1"/>
    <col min="9" max="9" width="2.57421875" style="139" customWidth="1"/>
    <col min="10" max="10" width="14.57421875" style="159" customWidth="1"/>
    <col min="11" max="11" width="2.28125" style="157" customWidth="1"/>
    <col min="12" max="16384" width="11.421875" style="156" customWidth="1"/>
  </cols>
  <sheetData>
    <row r="1" spans="1:11" ht="15.75" thickBot="1">
      <c r="A1" s="165"/>
      <c r="B1" s="166"/>
      <c r="C1" s="167"/>
      <c r="D1" s="167"/>
      <c r="E1" s="168"/>
      <c r="F1" s="167"/>
      <c r="G1" s="168"/>
      <c r="H1" s="167"/>
      <c r="I1" s="165"/>
      <c r="J1" s="169"/>
      <c r="K1" s="165"/>
    </row>
    <row r="2" spans="1:11" ht="15.75" thickBot="1">
      <c r="A2" s="165"/>
      <c r="B2" s="170" t="s">
        <v>187</v>
      </c>
      <c r="C2" s="171">
        <f>('DEMANDE DE PERSONNEL'!O68+'DEMANDE DE PERSONNEL'!T68)*151.67</f>
        <v>0</v>
      </c>
      <c r="D2" s="167"/>
      <c r="E2" s="168"/>
      <c r="F2" s="167"/>
      <c r="G2" s="168"/>
      <c r="H2" s="167"/>
      <c r="I2" s="165"/>
      <c r="J2" s="169"/>
      <c r="K2" s="165"/>
    </row>
    <row r="3" spans="1:11" ht="15.75" thickBot="1">
      <c r="A3" s="172"/>
      <c r="B3" s="166"/>
      <c r="C3" s="173"/>
      <c r="D3" s="173"/>
      <c r="E3" s="174"/>
      <c r="F3" s="166"/>
      <c r="G3" s="174"/>
      <c r="H3" s="173"/>
      <c r="I3" s="173"/>
      <c r="J3" s="175"/>
      <c r="K3" s="172"/>
    </row>
    <row r="4" spans="1:11" ht="15">
      <c r="A4" s="172"/>
      <c r="B4" s="176" t="s">
        <v>95</v>
      </c>
      <c r="C4" s="177">
        <f>C2</f>
        <v>0</v>
      </c>
      <c r="D4" s="178"/>
      <c r="E4" s="174"/>
      <c r="F4" s="140"/>
      <c r="G4" s="141"/>
      <c r="H4" s="367" t="s">
        <v>233</v>
      </c>
      <c r="I4" s="173"/>
      <c r="J4" s="175"/>
      <c r="K4" s="172"/>
    </row>
    <row r="5" spans="1:11" ht="15">
      <c r="A5" s="172"/>
      <c r="B5" s="179" t="s">
        <v>96</v>
      </c>
      <c r="C5" s="180">
        <v>0</v>
      </c>
      <c r="D5" s="178"/>
      <c r="E5" s="155"/>
      <c r="F5" s="341"/>
      <c r="G5" s="341"/>
      <c r="H5" s="341"/>
      <c r="I5" s="173"/>
      <c r="J5" s="175"/>
      <c r="K5" s="172"/>
    </row>
    <row r="6" spans="1:11" ht="15">
      <c r="A6" s="172"/>
      <c r="B6" s="179" t="s">
        <v>97</v>
      </c>
      <c r="C6" s="181">
        <f>D11</f>
        <v>0</v>
      </c>
      <c r="D6" s="178"/>
      <c r="E6" s="174"/>
      <c r="F6" s="140"/>
      <c r="G6" s="142"/>
      <c r="H6" s="140"/>
      <c r="I6" s="173"/>
      <c r="J6" s="175"/>
      <c r="K6" s="172"/>
    </row>
    <row r="7" spans="1:11" ht="15">
      <c r="A7" s="172"/>
      <c r="B7" s="179" t="s">
        <v>98</v>
      </c>
      <c r="C7" s="273">
        <f>Brut_de_base_hors_TEPA2+C5+brut_TEPA2</f>
        <v>0</v>
      </c>
      <c r="D7" s="178"/>
      <c r="E7" s="174"/>
      <c r="F7" s="270"/>
      <c r="G7" s="271"/>
      <c r="H7" s="270"/>
      <c r="I7" s="270"/>
      <c r="J7" s="272"/>
      <c r="K7" s="172"/>
    </row>
    <row r="8" spans="1:11" ht="15">
      <c r="A8" s="172"/>
      <c r="B8" s="179" t="s">
        <v>99</v>
      </c>
      <c r="C8" s="182">
        <v>151.67</v>
      </c>
      <c r="D8" s="178"/>
      <c r="E8" s="174"/>
      <c r="F8" s="353" t="s">
        <v>183</v>
      </c>
      <c r="G8" s="357"/>
      <c r="H8" s="357"/>
      <c r="I8" s="357"/>
      <c r="J8" s="357"/>
      <c r="K8" s="172"/>
    </row>
    <row r="9" spans="1:11" ht="15">
      <c r="A9" s="172"/>
      <c r="B9" s="179" t="s">
        <v>100</v>
      </c>
      <c r="C9" s="182">
        <v>35</v>
      </c>
      <c r="D9" s="178"/>
      <c r="E9" s="174"/>
      <c r="F9" s="357"/>
      <c r="G9" s="357"/>
      <c r="H9" s="357"/>
      <c r="I9" s="357"/>
      <c r="J9" s="357"/>
      <c r="K9" s="172"/>
    </row>
    <row r="10" spans="1:11" ht="15">
      <c r="A10" s="172"/>
      <c r="B10" s="179" t="s">
        <v>101</v>
      </c>
      <c r="C10" s="182">
        <v>35</v>
      </c>
      <c r="D10" s="178"/>
      <c r="E10" s="174"/>
      <c r="F10" s="357"/>
      <c r="G10" s="357"/>
      <c r="H10" s="357"/>
      <c r="I10" s="357"/>
      <c r="J10" s="357"/>
      <c r="K10" s="172"/>
    </row>
    <row r="11" spans="1:11" ht="15">
      <c r="A11" s="172"/>
      <c r="B11" s="183" t="s">
        <v>102</v>
      </c>
      <c r="C11" s="182">
        <v>0</v>
      </c>
      <c r="D11" s="184">
        <f>(C11*125%)*(Brut_de_base_hors_TEPA2/C8)</f>
        <v>0</v>
      </c>
      <c r="E11" s="172"/>
      <c r="F11" s="358">
        <f>H87</f>
        <v>-23.44</v>
      </c>
      <c r="G11" s="359"/>
      <c r="H11" s="359"/>
      <c r="I11" s="359"/>
      <c r="J11" s="359"/>
      <c r="K11" s="172"/>
    </row>
    <row r="12" spans="1:11" ht="15">
      <c r="A12" s="172"/>
      <c r="B12" s="183" t="s">
        <v>103</v>
      </c>
      <c r="C12" s="182">
        <v>0</v>
      </c>
      <c r="D12" s="184">
        <f>(C12*150%)*(Brut_de_base_hors_TEPA2/C8)</f>
        <v>0</v>
      </c>
      <c r="E12" s="172"/>
      <c r="F12" s="359"/>
      <c r="G12" s="359"/>
      <c r="H12" s="359"/>
      <c r="I12" s="359"/>
      <c r="J12" s="359"/>
      <c r="K12" s="172"/>
    </row>
    <row r="13" spans="1:11" ht="15">
      <c r="A13" s="172"/>
      <c r="B13" s="185" t="s">
        <v>104</v>
      </c>
      <c r="C13" s="186" t="e">
        <f>IF((SUM(I28:I59)+Csg_rds_hres_sup2)/BRUT_TOTAL2&lt;0.215,(SUM(I28:I59)+Csg_rds_hres_sup2)/BRUT_TOTAL2,0.215)</f>
        <v>#REF!</v>
      </c>
      <c r="D13" s="187"/>
      <c r="E13" s="174"/>
      <c r="F13" s="359"/>
      <c r="G13" s="359"/>
      <c r="H13" s="359"/>
      <c r="I13" s="359"/>
      <c r="J13" s="359"/>
      <c r="K13" s="172"/>
    </row>
    <row r="14" spans="1:11" ht="15">
      <c r="A14" s="172"/>
      <c r="B14" s="185" t="s">
        <v>105</v>
      </c>
      <c r="C14" s="188" t="e">
        <f>IF(C13&lt;0.215,"vrai","faux")</f>
        <v>#REF!</v>
      </c>
      <c r="D14" s="189"/>
      <c r="E14" s="174"/>
      <c r="F14" s="270"/>
      <c r="G14" s="271"/>
      <c r="H14" s="270"/>
      <c r="I14" s="270"/>
      <c r="J14" s="272"/>
      <c r="K14" s="172"/>
    </row>
    <row r="15" spans="1:11" ht="15">
      <c r="A15" s="172"/>
      <c r="B15" s="185" t="s">
        <v>106</v>
      </c>
      <c r="C15" s="190" t="e">
        <f>brut_TEPA2*C13</f>
        <v>#REF!</v>
      </c>
      <c r="D15" s="189"/>
      <c r="E15" s="174"/>
      <c r="F15" s="173"/>
      <c r="G15" s="174"/>
      <c r="H15" s="173"/>
      <c r="I15" s="173"/>
      <c r="J15" s="175"/>
      <c r="K15" s="172"/>
    </row>
    <row r="16" spans="1:11" ht="15">
      <c r="A16" s="172"/>
      <c r="B16" s="183" t="s">
        <v>107</v>
      </c>
      <c r="C16" s="191">
        <f>IF(C17&gt;0,C17,PMSS2*Nb_d_h_rémunérées_2/151.67)</f>
        <v>2859</v>
      </c>
      <c r="D16" s="189"/>
      <c r="E16" s="172"/>
      <c r="F16" s="173"/>
      <c r="G16" s="174"/>
      <c r="H16" s="173"/>
      <c r="I16" s="173"/>
      <c r="J16" s="175"/>
      <c r="K16" s="172"/>
    </row>
    <row r="17" spans="1:11" ht="15">
      <c r="A17" s="172"/>
      <c r="B17" s="183" t="s">
        <v>108</v>
      </c>
      <c r="C17" s="180"/>
      <c r="D17" s="189"/>
      <c r="E17" s="192"/>
      <c r="F17" s="173"/>
      <c r="G17" s="174"/>
      <c r="H17" s="173"/>
      <c r="I17" s="173"/>
      <c r="J17" s="175"/>
      <c r="K17" s="172"/>
    </row>
    <row r="18" spans="1:11" ht="15">
      <c r="A18" s="172"/>
      <c r="B18" s="179" t="s">
        <v>109</v>
      </c>
      <c r="C18" s="180">
        <v>2859</v>
      </c>
      <c r="D18" s="178"/>
      <c r="E18" s="174"/>
      <c r="F18" s="173"/>
      <c r="G18" s="174"/>
      <c r="H18" s="173"/>
      <c r="I18" s="173"/>
      <c r="J18" s="175"/>
      <c r="K18" s="172"/>
    </row>
    <row r="19" spans="1:11" ht="15">
      <c r="A19" s="172"/>
      <c r="B19" s="179" t="s">
        <v>110</v>
      </c>
      <c r="C19" s="180">
        <v>290.17</v>
      </c>
      <c r="D19" s="178"/>
      <c r="E19" s="174"/>
      <c r="F19" s="173"/>
      <c r="G19" s="174"/>
      <c r="H19" s="173"/>
      <c r="I19" s="140"/>
      <c r="J19" s="175"/>
      <c r="K19" s="172"/>
    </row>
    <row r="20" spans="1:11" ht="15">
      <c r="A20" s="172"/>
      <c r="B20" s="179" t="s">
        <v>111</v>
      </c>
      <c r="C20" s="180">
        <v>9.61</v>
      </c>
      <c r="D20" s="178"/>
      <c r="E20" s="174"/>
      <c r="F20" s="173"/>
      <c r="G20" s="174"/>
      <c r="H20" s="173"/>
      <c r="I20" s="140"/>
      <c r="J20" s="175"/>
      <c r="K20" s="172"/>
    </row>
    <row r="21" spans="1:11" ht="15">
      <c r="A21" s="172"/>
      <c r="B21" s="179" t="s">
        <v>112</v>
      </c>
      <c r="C21" s="193"/>
      <c r="D21" s="194" t="b">
        <v>0</v>
      </c>
      <c r="E21" s="174"/>
      <c r="F21" s="173"/>
      <c r="G21" s="174"/>
      <c r="H21" s="173"/>
      <c r="I21" s="140"/>
      <c r="J21" s="175"/>
      <c r="K21" s="172"/>
    </row>
    <row r="22" spans="1:11" ht="15">
      <c r="A22" s="172"/>
      <c r="B22" s="179" t="s">
        <v>113</v>
      </c>
      <c r="C22" s="195"/>
      <c r="D22" s="194" t="b">
        <v>0</v>
      </c>
      <c r="E22" s="174"/>
      <c r="F22" s="173"/>
      <c r="G22" s="174"/>
      <c r="H22" s="196"/>
      <c r="I22" s="140"/>
      <c r="J22" s="175"/>
      <c r="K22" s="172"/>
    </row>
    <row r="23" spans="1:11" ht="15.75" thickBot="1">
      <c r="A23" s="172"/>
      <c r="B23" s="197" t="s">
        <v>114</v>
      </c>
      <c r="C23" s="198"/>
      <c r="D23" s="199" t="b">
        <v>1</v>
      </c>
      <c r="E23" s="174"/>
      <c r="F23" s="348" t="s">
        <v>184</v>
      </c>
      <c r="G23" s="348"/>
      <c r="H23" s="348"/>
      <c r="I23" s="348"/>
      <c r="J23" s="348"/>
      <c r="K23" s="172"/>
    </row>
    <row r="24" spans="1:11" ht="15">
      <c r="A24" s="172"/>
      <c r="B24" s="172"/>
      <c r="C24" s="200"/>
      <c r="D24" s="200"/>
      <c r="E24" s="174"/>
      <c r="F24" s="173"/>
      <c r="G24" s="174"/>
      <c r="H24" s="173"/>
      <c r="I24" s="173"/>
      <c r="J24" s="175"/>
      <c r="K24" s="172"/>
    </row>
    <row r="25" spans="1:11" ht="15">
      <c r="A25" s="172"/>
      <c r="B25" s="160" t="s">
        <v>115</v>
      </c>
      <c r="C25" s="161" t="s">
        <v>116</v>
      </c>
      <c r="D25" s="161"/>
      <c r="E25" s="162" t="s">
        <v>117</v>
      </c>
      <c r="F25" s="161" t="s">
        <v>118</v>
      </c>
      <c r="G25" s="349" t="s">
        <v>119</v>
      </c>
      <c r="H25" s="350"/>
      <c r="I25" s="201"/>
      <c r="J25" s="269" t="s">
        <v>120</v>
      </c>
      <c r="K25" s="172"/>
    </row>
    <row r="26" spans="1:11" ht="15">
      <c r="A26" s="172"/>
      <c r="B26" s="202"/>
      <c r="C26" s="143"/>
      <c r="D26" s="203"/>
      <c r="E26" s="204"/>
      <c r="F26" s="143"/>
      <c r="G26" s="204"/>
      <c r="H26" s="144"/>
      <c r="I26" s="205"/>
      <c r="J26" s="206"/>
      <c r="K26" s="172"/>
    </row>
    <row r="27" spans="1:11" ht="15">
      <c r="A27" s="172"/>
      <c r="B27" s="163" t="s">
        <v>121</v>
      </c>
      <c r="C27" s="143"/>
      <c r="D27" s="203"/>
      <c r="E27" s="208"/>
      <c r="F27" s="143"/>
      <c r="G27" s="204"/>
      <c r="H27" s="144"/>
      <c r="I27" s="205"/>
      <c r="J27" s="206"/>
      <c r="K27" s="172"/>
    </row>
    <row r="28" spans="1:11" ht="15">
      <c r="A28" s="172"/>
      <c r="B28" s="202" t="s">
        <v>122</v>
      </c>
      <c r="C28" s="143">
        <f>BRUT_TOTAL2</f>
        <v>0</v>
      </c>
      <c r="D28" s="203"/>
      <c r="E28" s="209">
        <v>0.0075</v>
      </c>
      <c r="F28" s="143">
        <f>ROUNDDOWN($C28*E28,2)</f>
        <v>0</v>
      </c>
      <c r="G28" s="210">
        <v>0.128</v>
      </c>
      <c r="H28" s="144">
        <f aca="true" t="shared" si="0" ref="H28:H54">ROUNDDOWN($C28*G28,2)</f>
        <v>0</v>
      </c>
      <c r="I28" s="205">
        <f>F28</f>
        <v>0</v>
      </c>
      <c r="J28" s="206">
        <f aca="true" t="shared" si="1" ref="J28:J38">E28+G28</f>
        <v>0.1355</v>
      </c>
      <c r="K28" s="172"/>
    </row>
    <row r="29" spans="1:11" ht="15">
      <c r="A29" s="172"/>
      <c r="B29" s="202" t="s">
        <v>123</v>
      </c>
      <c r="C29" s="143">
        <f>BRUT_TOTAL2</f>
        <v>0</v>
      </c>
      <c r="D29" s="203"/>
      <c r="E29" s="211"/>
      <c r="F29" s="143"/>
      <c r="G29" s="210">
        <v>0.003</v>
      </c>
      <c r="H29" s="144">
        <f t="shared" si="0"/>
        <v>0</v>
      </c>
      <c r="I29" s="205">
        <f aca="true" t="shared" si="2" ref="I29:I59">F29</f>
        <v>0</v>
      </c>
      <c r="J29" s="206">
        <f t="shared" si="1"/>
        <v>0.003</v>
      </c>
      <c r="K29" s="172"/>
    </row>
    <row r="30" spans="1:11" ht="15">
      <c r="A30" s="172"/>
      <c r="B30" s="202" t="s">
        <v>124</v>
      </c>
      <c r="C30" s="143">
        <f>IF(BRUT_TOTAL2&gt;Plafond_de_passage2,Plafond_de_passage2,BRUT_TOTAL2)</f>
        <v>0</v>
      </c>
      <c r="D30" s="203"/>
      <c r="E30" s="209">
        <v>0.0665</v>
      </c>
      <c r="F30" s="143">
        <f>ROUNDDOWN($C30*E30,2)</f>
        <v>0</v>
      </c>
      <c r="G30" s="210">
        <v>0.083</v>
      </c>
      <c r="H30" s="144">
        <f t="shared" si="0"/>
        <v>0</v>
      </c>
      <c r="I30" s="205">
        <f t="shared" si="2"/>
        <v>0</v>
      </c>
      <c r="J30" s="206">
        <f t="shared" si="1"/>
        <v>0.14950000000000002</v>
      </c>
      <c r="K30" s="172"/>
    </row>
    <row r="31" spans="1:11" ht="15">
      <c r="A31" s="172"/>
      <c r="B31" s="202" t="s">
        <v>125</v>
      </c>
      <c r="C31" s="143">
        <f>BRUT_TOTAL2</f>
        <v>0</v>
      </c>
      <c r="D31" s="203"/>
      <c r="E31" s="209">
        <v>0.001</v>
      </c>
      <c r="F31" s="143">
        <f>ROUNDDOWN($C31*E31,2)</f>
        <v>0</v>
      </c>
      <c r="G31" s="210">
        <v>0.016</v>
      </c>
      <c r="H31" s="144">
        <f t="shared" si="0"/>
        <v>0</v>
      </c>
      <c r="I31" s="205">
        <f t="shared" si="2"/>
        <v>0</v>
      </c>
      <c r="J31" s="206">
        <f t="shared" si="1"/>
        <v>0.017</v>
      </c>
      <c r="K31" s="172"/>
    </row>
    <row r="32" spans="1:11" ht="15">
      <c r="A32" s="172"/>
      <c r="B32" s="202" t="s">
        <v>126</v>
      </c>
      <c r="C32" s="143">
        <f>BRUT_TOTAL2</f>
        <v>0</v>
      </c>
      <c r="D32" s="203"/>
      <c r="E32" s="211"/>
      <c r="F32" s="143"/>
      <c r="G32" s="210">
        <v>0.054</v>
      </c>
      <c r="H32" s="144">
        <f t="shared" si="0"/>
        <v>0</v>
      </c>
      <c r="I32" s="205">
        <f t="shared" si="2"/>
        <v>0</v>
      </c>
      <c r="J32" s="206">
        <f t="shared" si="1"/>
        <v>0.054</v>
      </c>
      <c r="K32" s="172"/>
    </row>
    <row r="33" spans="1:11" ht="15">
      <c r="A33" s="172"/>
      <c r="B33" s="202" t="s">
        <v>127</v>
      </c>
      <c r="C33" s="143">
        <f>BRUT_TOTAL2</f>
        <v>0</v>
      </c>
      <c r="D33" s="203"/>
      <c r="E33" s="211"/>
      <c r="F33" s="143"/>
      <c r="G33" s="212">
        <v>0.014</v>
      </c>
      <c r="H33" s="144">
        <f t="shared" si="0"/>
        <v>0</v>
      </c>
      <c r="I33" s="205">
        <f t="shared" si="2"/>
        <v>0</v>
      </c>
      <c r="J33" s="206">
        <f t="shared" si="1"/>
        <v>0.014</v>
      </c>
      <c r="K33" s="172"/>
    </row>
    <row r="34" spans="1:11" ht="15">
      <c r="A34" s="172"/>
      <c r="B34" s="202" t="s">
        <v>128</v>
      </c>
      <c r="C34" s="143">
        <f>C30</f>
        <v>0</v>
      </c>
      <c r="D34" s="203"/>
      <c r="E34" s="211"/>
      <c r="F34" s="143"/>
      <c r="G34" s="210">
        <v>0.001</v>
      </c>
      <c r="H34" s="144">
        <f t="shared" si="0"/>
        <v>0</v>
      </c>
      <c r="I34" s="205">
        <f t="shared" si="2"/>
        <v>0</v>
      </c>
      <c r="J34" s="206">
        <f t="shared" si="1"/>
        <v>0.001</v>
      </c>
      <c r="K34" s="172"/>
    </row>
    <row r="35" spans="1:11" ht="15">
      <c r="A35" s="213"/>
      <c r="B35" s="202" t="s">
        <v>129</v>
      </c>
      <c r="C35" s="143">
        <f>IF(D22,BRUT_TOTAL2,0)</f>
        <v>0</v>
      </c>
      <c r="D35" s="203"/>
      <c r="E35" s="211"/>
      <c r="F35" s="143"/>
      <c r="G35" s="208">
        <v>0.004</v>
      </c>
      <c r="H35" s="144">
        <f t="shared" si="0"/>
        <v>0</v>
      </c>
      <c r="I35" s="205">
        <f t="shared" si="2"/>
        <v>0</v>
      </c>
      <c r="J35" s="206">
        <f t="shared" si="1"/>
        <v>0.004</v>
      </c>
      <c r="K35" s="172"/>
    </row>
    <row r="36" spans="1:11" ht="15">
      <c r="A36" s="213" t="b">
        <v>0</v>
      </c>
      <c r="B36" s="202" t="s">
        <v>130</v>
      </c>
      <c r="C36" s="143">
        <f>IF(A36,BRUT_TOTAL2,0)</f>
        <v>0</v>
      </c>
      <c r="D36" s="203"/>
      <c r="E36" s="211"/>
      <c r="F36" s="143"/>
      <c r="G36" s="214">
        <v>0.026</v>
      </c>
      <c r="H36" s="144">
        <f t="shared" si="0"/>
        <v>0</v>
      </c>
      <c r="I36" s="205">
        <f t="shared" si="2"/>
        <v>0</v>
      </c>
      <c r="J36" s="206">
        <f t="shared" si="1"/>
        <v>0.026</v>
      </c>
      <c r="K36" s="172"/>
    </row>
    <row r="37" spans="1:11" ht="15">
      <c r="A37" s="172"/>
      <c r="B37" s="202" t="s">
        <v>131</v>
      </c>
      <c r="C37" s="143"/>
      <c r="D37" s="203"/>
      <c r="E37" s="211"/>
      <c r="F37" s="143"/>
      <c r="G37" s="208"/>
      <c r="H37" s="144" t="e">
        <f>IF(C21,-(BRUT_TOTAL2)*H108,-(BRUT_TOTAL2)*G108)</f>
        <v>#DIV/0!</v>
      </c>
      <c r="I37" s="205">
        <f t="shared" si="2"/>
        <v>0</v>
      </c>
      <c r="J37" s="206"/>
      <c r="K37" s="172"/>
    </row>
    <row r="38" spans="1:11" ht="15">
      <c r="A38" s="213" t="b">
        <v>0</v>
      </c>
      <c r="B38" s="202" t="s">
        <v>132</v>
      </c>
      <c r="C38" s="143">
        <f>IF(A38,BRUT_TOTAL2,0)</f>
        <v>0</v>
      </c>
      <c r="D38" s="203"/>
      <c r="E38" s="211"/>
      <c r="F38" s="143"/>
      <c r="G38" s="208">
        <v>0.0045</v>
      </c>
      <c r="H38" s="144">
        <f>ROUNDDOWN($C38*G38,2)</f>
        <v>0</v>
      </c>
      <c r="I38" s="205">
        <f t="shared" si="2"/>
        <v>0</v>
      </c>
      <c r="J38" s="206">
        <f t="shared" si="1"/>
        <v>0.0045</v>
      </c>
      <c r="K38" s="172"/>
    </row>
    <row r="39" spans="1:11" ht="15">
      <c r="A39" s="172"/>
      <c r="B39" s="202" t="s">
        <v>133</v>
      </c>
      <c r="C39" s="143"/>
      <c r="D39" s="203"/>
      <c r="E39" s="211"/>
      <c r="F39" s="143"/>
      <c r="G39" s="208"/>
      <c r="H39" s="144"/>
      <c r="I39" s="205">
        <f t="shared" si="2"/>
        <v>0</v>
      </c>
      <c r="J39" s="206"/>
      <c r="K39" s="172"/>
    </row>
    <row r="40" spans="1:11" ht="15">
      <c r="A40" s="172"/>
      <c r="B40" s="202" t="s">
        <v>134</v>
      </c>
      <c r="C40" s="143">
        <f>IF(BRUT_TOTAL2&gt;Plafond_de_passage2,Plafond_de_passage2,BRUT_TOTAL2)</f>
        <v>0</v>
      </c>
      <c r="D40" s="203"/>
      <c r="E40" s="211">
        <v>0.024</v>
      </c>
      <c r="F40" s="143">
        <f>ROUNDDOWN($C40*E40,2)</f>
        <v>0</v>
      </c>
      <c r="G40" s="208">
        <v>0.04</v>
      </c>
      <c r="H40" s="144">
        <f t="shared" si="0"/>
        <v>0</v>
      </c>
      <c r="I40" s="205">
        <f t="shared" si="2"/>
        <v>0</v>
      </c>
      <c r="J40" s="206">
        <f>E40+G40</f>
        <v>0.064</v>
      </c>
      <c r="K40" s="172"/>
    </row>
    <row r="41" spans="1:11" ht="15">
      <c r="A41" s="172"/>
      <c r="B41" s="202" t="s">
        <v>135</v>
      </c>
      <c r="C41" s="143">
        <f>IF(IF(BRUT_TOTAL2-Plafond_de_passage2&gt;Plafond_de_passage2*4,Plafond_de_passage2*4-C40,BRUT_TOTAL2-Plafond_de_passage2)&lt;0,0,IF(BRUT_TOTAL2-Plafond_de_passage2&gt;Plafond_de_passage2*4,Plafond_de_passage2*4-C40,BRUT_TOTAL2-Plafond_de_passage2))</f>
        <v>0</v>
      </c>
      <c r="D41" s="203"/>
      <c r="E41" s="211">
        <v>0.024</v>
      </c>
      <c r="F41" s="143">
        <f>ROUNDDOWN($C41*E41,2)</f>
        <v>0</v>
      </c>
      <c r="G41" s="208">
        <v>0.04</v>
      </c>
      <c r="H41" s="144">
        <f t="shared" si="0"/>
        <v>0</v>
      </c>
      <c r="I41" s="205">
        <f t="shared" si="2"/>
        <v>0</v>
      </c>
      <c r="J41" s="206">
        <f>E41+G41</f>
        <v>0.064</v>
      </c>
      <c r="K41" s="172"/>
    </row>
    <row r="42" spans="1:11" ht="15">
      <c r="A42" s="172"/>
      <c r="B42" s="202" t="s">
        <v>136</v>
      </c>
      <c r="C42" s="143">
        <f>C40+C41</f>
        <v>0</v>
      </c>
      <c r="D42" s="203"/>
      <c r="E42" s="211"/>
      <c r="F42" s="143"/>
      <c r="G42" s="208">
        <v>0.003</v>
      </c>
      <c r="H42" s="144">
        <f t="shared" si="0"/>
        <v>0</v>
      </c>
      <c r="I42" s="205">
        <f t="shared" si="2"/>
        <v>0</v>
      </c>
      <c r="J42" s="206">
        <f>E42+G42</f>
        <v>0.003</v>
      </c>
      <c r="K42" s="172"/>
    </row>
    <row r="43" spans="1:11" ht="15">
      <c r="A43" s="172"/>
      <c r="B43" s="163" t="s">
        <v>137</v>
      </c>
      <c r="C43" s="143"/>
      <c r="D43" s="203"/>
      <c r="E43" s="211"/>
      <c r="F43" s="143"/>
      <c r="G43" s="208"/>
      <c r="H43" s="144"/>
      <c r="I43" s="205">
        <f t="shared" si="2"/>
        <v>0</v>
      </c>
      <c r="J43" s="206"/>
      <c r="K43" s="172"/>
    </row>
    <row r="44" spans="1:11" ht="15">
      <c r="A44" s="172"/>
      <c r="B44" s="202" t="s">
        <v>138</v>
      </c>
      <c r="C44" s="143">
        <f>C30</f>
        <v>0</v>
      </c>
      <c r="D44" s="203"/>
      <c r="E44" s="211">
        <v>0.03</v>
      </c>
      <c r="F44" s="143">
        <f aca="true" t="shared" si="3" ref="F44:F54">ROUNDDOWN($C44*E44,2)</f>
        <v>0</v>
      </c>
      <c r="G44" s="208">
        <v>0.045</v>
      </c>
      <c r="H44" s="144">
        <f t="shared" si="0"/>
        <v>0</v>
      </c>
      <c r="I44" s="205">
        <f t="shared" si="2"/>
        <v>0</v>
      </c>
      <c r="J44" s="206">
        <f>E44+G44</f>
        <v>0.075</v>
      </c>
      <c r="K44" s="172"/>
    </row>
    <row r="45" spans="1:11" ht="15">
      <c r="A45" s="172"/>
      <c r="B45" s="202" t="s">
        <v>139</v>
      </c>
      <c r="C45" s="143">
        <f>IF(IF(NOT(C23),IF(BRUT_TOTAL2&gt;Plafond_de_passage2*3,Plafond_de_passage2*3-Plafond_de_passage2,BRUT_TOTAL2-Plafond_de_passage2),IF(BRUT_TOTAL2&gt;Plafond_de_passage2*4,Plafond_de_passage2*4-Plafond_de_passage2,BRUT_TOTAL2-Plafond_de_passage2))&lt;0,0,IF(NOT(C23),IF(BRUT_TOTAL2&gt;Plafond_de_passage2*3,Plafond_de_passage2*3-Plafond_de_passage2,BRUT_TOTAL2-Plafond_de_passage2),IF(BRUT_TOTAL2&gt;Plafond_de_passage2*4,Plafond_de_passage2*4-Plafond_de_passage2,BRUT_TOTAL2-Plafond_de_passage2)))</f>
        <v>0</v>
      </c>
      <c r="D45" s="203"/>
      <c r="E45" s="211">
        <f>IF($C$23,7.7%,8%)</f>
        <v>0.08</v>
      </c>
      <c r="F45" s="143">
        <f t="shared" si="3"/>
        <v>0</v>
      </c>
      <c r="G45" s="211">
        <f>IF($C$23,12.6%,12%)</f>
        <v>0.12</v>
      </c>
      <c r="H45" s="144">
        <f t="shared" si="0"/>
        <v>0</v>
      </c>
      <c r="I45" s="205">
        <f t="shared" si="2"/>
        <v>0</v>
      </c>
      <c r="J45" s="206">
        <f>E45+G45</f>
        <v>0.2</v>
      </c>
      <c r="K45" s="172"/>
    </row>
    <row r="46" spans="1:11" ht="15">
      <c r="A46" s="172"/>
      <c r="B46" s="202" t="s">
        <v>140</v>
      </c>
      <c r="C46" s="143">
        <f>C41</f>
        <v>0</v>
      </c>
      <c r="D46" s="203"/>
      <c r="E46" s="215">
        <f>IF($C$23,0.00024,0)</f>
        <v>0</v>
      </c>
      <c r="F46" s="143">
        <f t="shared" si="3"/>
        <v>0</v>
      </c>
      <c r="G46" s="215">
        <f>IF($C$23,0.00036,0)</f>
        <v>0</v>
      </c>
      <c r="H46" s="144">
        <f t="shared" si="0"/>
        <v>0</v>
      </c>
      <c r="I46" s="205">
        <f t="shared" si="2"/>
        <v>0</v>
      </c>
      <c r="J46" s="206">
        <f>E46+G46</f>
        <v>0</v>
      </c>
      <c r="K46" s="172"/>
    </row>
    <row r="47" spans="1:11" ht="15">
      <c r="A47" s="213" t="b">
        <v>0</v>
      </c>
      <c r="B47" s="202" t="s">
        <v>141</v>
      </c>
      <c r="C47" s="143"/>
      <c r="D47" s="203"/>
      <c r="E47" s="211"/>
      <c r="F47" s="143">
        <f>IF(AND($D$23,$A$47),7.72,0)</f>
        <v>0</v>
      </c>
      <c r="G47" s="208"/>
      <c r="H47" s="144">
        <f>IF(AND($D$23,$A$47),11.59,0)</f>
        <v>0</v>
      </c>
      <c r="I47" s="205">
        <f t="shared" si="2"/>
        <v>0</v>
      </c>
      <c r="J47" s="206"/>
      <c r="K47" s="172"/>
    </row>
    <row r="48" spans="1:11" ht="15">
      <c r="A48" s="172"/>
      <c r="B48" s="202" t="s">
        <v>142</v>
      </c>
      <c r="C48" s="143">
        <f>IF(BRUT_TOTAL2&gt;Plafond_de_passage2*8,Plafond_de_passage2*8,BRUT_TOTAL2)</f>
        <v>0</v>
      </c>
      <c r="D48" s="203"/>
      <c r="E48" s="211">
        <f>IF($C$23,0.0013,0)</f>
        <v>0</v>
      </c>
      <c r="F48" s="143">
        <f t="shared" si="3"/>
        <v>0</v>
      </c>
      <c r="G48" s="208">
        <f>IF($C$23,0.0022,0)</f>
        <v>0</v>
      </c>
      <c r="H48" s="144">
        <f t="shared" si="0"/>
        <v>0</v>
      </c>
      <c r="I48" s="205">
        <f t="shared" si="2"/>
        <v>0</v>
      </c>
      <c r="J48" s="206">
        <f>E48+G48</f>
        <v>0</v>
      </c>
      <c r="K48" s="172"/>
    </row>
    <row r="49" spans="1:11" ht="15">
      <c r="A49" s="172"/>
      <c r="B49" s="202" t="s">
        <v>143</v>
      </c>
      <c r="C49" s="143">
        <f>C30</f>
        <v>0</v>
      </c>
      <c r="D49" s="203"/>
      <c r="E49" s="211">
        <v>0.008</v>
      </c>
      <c r="F49" s="143">
        <f t="shared" si="3"/>
        <v>0</v>
      </c>
      <c r="G49" s="208">
        <v>0.012</v>
      </c>
      <c r="H49" s="144">
        <f t="shared" si="0"/>
        <v>0</v>
      </c>
      <c r="I49" s="205">
        <f t="shared" si="2"/>
        <v>0</v>
      </c>
      <c r="J49" s="206">
        <f>E49+G49</f>
        <v>0.02</v>
      </c>
      <c r="K49" s="172"/>
    </row>
    <row r="50" spans="1:11" ht="15">
      <c r="A50" s="172"/>
      <c r="B50" s="202" t="s">
        <v>144</v>
      </c>
      <c r="C50" s="143">
        <f>C41</f>
        <v>0</v>
      </c>
      <c r="D50" s="203"/>
      <c r="E50" s="211">
        <v>0.009</v>
      </c>
      <c r="F50" s="143">
        <f t="shared" si="3"/>
        <v>0</v>
      </c>
      <c r="G50" s="208">
        <v>0.013</v>
      </c>
      <c r="H50" s="144">
        <f t="shared" si="0"/>
        <v>0</v>
      </c>
      <c r="I50" s="205">
        <f t="shared" si="2"/>
        <v>0</v>
      </c>
      <c r="J50" s="206">
        <f>E50+G50</f>
        <v>0.022</v>
      </c>
      <c r="K50" s="172"/>
    </row>
    <row r="51" spans="1:11" ht="15">
      <c r="A51" s="172"/>
      <c r="B51" s="163" t="s">
        <v>145</v>
      </c>
      <c r="C51" s="143"/>
      <c r="D51" s="203"/>
      <c r="E51" s="211"/>
      <c r="F51" s="143"/>
      <c r="G51" s="208"/>
      <c r="H51" s="144"/>
      <c r="I51" s="205">
        <f t="shared" si="2"/>
        <v>0</v>
      </c>
      <c r="J51" s="206"/>
      <c r="K51" s="172"/>
    </row>
    <row r="52" spans="1:11" ht="15">
      <c r="A52" s="213" t="b">
        <v>0</v>
      </c>
      <c r="B52" s="202" t="s">
        <v>146</v>
      </c>
      <c r="C52" s="143">
        <f>IF(C23,0,Plafond_de_passage2)</f>
        <v>2859</v>
      </c>
      <c r="D52" s="203"/>
      <c r="E52" s="215">
        <v>0.0082</v>
      </c>
      <c r="F52" s="143">
        <f t="shared" si="3"/>
        <v>23.44</v>
      </c>
      <c r="G52" s="215">
        <v>0</v>
      </c>
      <c r="H52" s="144">
        <f t="shared" si="0"/>
        <v>0</v>
      </c>
      <c r="I52" s="205">
        <f t="shared" si="2"/>
        <v>23.44</v>
      </c>
      <c r="J52" s="206">
        <f>E52+G52</f>
        <v>0.0082</v>
      </c>
      <c r="K52" s="172"/>
    </row>
    <row r="53" spans="1:11" ht="15">
      <c r="A53" s="172"/>
      <c r="B53" s="202" t="s">
        <v>147</v>
      </c>
      <c r="C53" s="143">
        <f>IF(C23,C30,0)</f>
        <v>0</v>
      </c>
      <c r="D53" s="203"/>
      <c r="E53" s="215">
        <v>0.00805</v>
      </c>
      <c r="F53" s="143">
        <f t="shared" si="3"/>
        <v>0</v>
      </c>
      <c r="G53" s="215">
        <v>0.00805</v>
      </c>
      <c r="H53" s="144">
        <f t="shared" si="0"/>
        <v>0</v>
      </c>
      <c r="I53" s="205">
        <f t="shared" si="2"/>
        <v>0</v>
      </c>
      <c r="J53" s="206">
        <f>E53+G53</f>
        <v>0.0161</v>
      </c>
      <c r="K53" s="172"/>
    </row>
    <row r="54" spans="1:11" ht="15">
      <c r="A54" s="172"/>
      <c r="B54" s="202" t="s">
        <v>148</v>
      </c>
      <c r="C54" s="143">
        <f>C41</f>
        <v>0</v>
      </c>
      <c r="D54" s="203"/>
      <c r="E54" s="215">
        <v>0.0082</v>
      </c>
      <c r="F54" s="143">
        <f t="shared" si="3"/>
        <v>0</v>
      </c>
      <c r="G54" s="215">
        <v>0.0134</v>
      </c>
      <c r="H54" s="144">
        <f t="shared" si="0"/>
        <v>0</v>
      </c>
      <c r="I54" s="205">
        <f t="shared" si="2"/>
        <v>0</v>
      </c>
      <c r="J54" s="206">
        <f>E54+G54</f>
        <v>0.0216</v>
      </c>
      <c r="K54" s="172"/>
    </row>
    <row r="55" spans="1:11" ht="15">
      <c r="A55" s="172"/>
      <c r="B55" s="216" t="s">
        <v>149</v>
      </c>
      <c r="C55" s="143"/>
      <c r="D55" s="203"/>
      <c r="E55" s="211"/>
      <c r="F55" s="145">
        <v>0</v>
      </c>
      <c r="G55" s="208"/>
      <c r="H55" s="146">
        <v>0</v>
      </c>
      <c r="I55" s="205">
        <f t="shared" si="2"/>
        <v>0</v>
      </c>
      <c r="J55" s="206"/>
      <c r="K55" s="172"/>
    </row>
    <row r="56" spans="1:11" ht="15">
      <c r="A56" s="172"/>
      <c r="B56" s="163" t="s">
        <v>150</v>
      </c>
      <c r="C56" s="147"/>
      <c r="D56" s="217"/>
      <c r="E56" s="218"/>
      <c r="F56" s="147"/>
      <c r="G56" s="208"/>
      <c r="H56" s="144"/>
      <c r="I56" s="205">
        <f t="shared" si="2"/>
        <v>0</v>
      </c>
      <c r="J56" s="206"/>
      <c r="K56" s="172"/>
    </row>
    <row r="57" spans="1:11" ht="15">
      <c r="A57" s="172"/>
      <c r="B57" s="202" t="s">
        <v>151</v>
      </c>
      <c r="C57" s="143">
        <f>(Brut_de_base_hors_TEPA2+C5+H52+H53+H54+H55)*97%</f>
        <v>0</v>
      </c>
      <c r="D57" s="203"/>
      <c r="E57" s="211">
        <v>0.051</v>
      </c>
      <c r="F57" s="143">
        <f>ROUNDDOWN($C57*E57,2)</f>
        <v>0</v>
      </c>
      <c r="G57" s="211"/>
      <c r="H57" s="144"/>
      <c r="I57" s="205">
        <f t="shared" si="2"/>
        <v>0</v>
      </c>
      <c r="J57" s="206">
        <f>E57+G57</f>
        <v>0.051</v>
      </c>
      <c r="K57" s="172"/>
    </row>
    <row r="58" spans="1:11" ht="15">
      <c r="A58" s="172"/>
      <c r="B58" s="202" t="s">
        <v>152</v>
      </c>
      <c r="C58" s="143">
        <f>(brut_TEPA2)*97%</f>
        <v>0</v>
      </c>
      <c r="D58" s="203"/>
      <c r="E58" s="211">
        <v>0.08</v>
      </c>
      <c r="F58" s="143">
        <f>ROUNDDOWN($C58*E58,2)</f>
        <v>0</v>
      </c>
      <c r="G58" s="211"/>
      <c r="H58" s="144"/>
      <c r="I58" s="205">
        <f t="shared" si="2"/>
        <v>0</v>
      </c>
      <c r="J58" s="206">
        <f>E58+G58</f>
        <v>0.08</v>
      </c>
      <c r="K58" s="172"/>
    </row>
    <row r="59" spans="1:11" ht="15">
      <c r="A59" s="172"/>
      <c r="B59" s="202" t="s">
        <v>153</v>
      </c>
      <c r="C59" s="143">
        <f>C11+C12</f>
        <v>0</v>
      </c>
      <c r="D59" s="203"/>
      <c r="E59" s="211"/>
      <c r="F59" s="143"/>
      <c r="G59" s="219">
        <f>IF(C22,0.5,1.5)</f>
        <v>1.5</v>
      </c>
      <c r="H59" s="144">
        <f>-C59*G59</f>
        <v>0</v>
      </c>
      <c r="I59" s="205">
        <f t="shared" si="2"/>
        <v>0</v>
      </c>
      <c r="J59" s="206"/>
      <c r="K59" s="172"/>
    </row>
    <row r="60" spans="1:11" ht="15">
      <c r="A60" s="172"/>
      <c r="B60" s="202" t="s">
        <v>154</v>
      </c>
      <c r="C60" s="143">
        <f>brut_TEPA2</f>
        <v>0</v>
      </c>
      <c r="D60" s="203"/>
      <c r="E60" s="220">
        <f>0.27</f>
        <v>0.27</v>
      </c>
      <c r="F60" s="143">
        <f>-C60*E60</f>
        <v>0</v>
      </c>
      <c r="G60" s="221"/>
      <c r="H60" s="144"/>
      <c r="I60" s="192"/>
      <c r="J60" s="206"/>
      <c r="K60" s="172"/>
    </row>
    <row r="61" spans="1:11" ht="15">
      <c r="A61" s="172"/>
      <c r="B61" s="163" t="s">
        <v>155</v>
      </c>
      <c r="C61" s="143"/>
      <c r="D61" s="203"/>
      <c r="E61" s="222"/>
      <c r="F61" s="143"/>
      <c r="G61" s="222"/>
      <c r="H61" s="144"/>
      <c r="I61" s="192"/>
      <c r="J61" s="206"/>
      <c r="K61" s="172"/>
    </row>
    <row r="62" spans="1:11" ht="15">
      <c r="A62" s="172"/>
      <c r="B62" s="202" t="s">
        <v>156</v>
      </c>
      <c r="C62" s="143">
        <f>BRUT_TOTAL2</f>
        <v>0</v>
      </c>
      <c r="D62" s="203"/>
      <c r="E62" s="217"/>
      <c r="F62" s="147"/>
      <c r="G62" s="211">
        <v>0</v>
      </c>
      <c r="H62" s="144">
        <f>ROUNDDOWN($C62*G62,2)</f>
        <v>0</v>
      </c>
      <c r="I62" s="192"/>
      <c r="J62" s="206">
        <f>E62+G62</f>
        <v>0</v>
      </c>
      <c r="K62" s="172"/>
    </row>
    <row r="63" spans="1:11" ht="15">
      <c r="A63" s="172"/>
      <c r="B63" s="202" t="s">
        <v>157</v>
      </c>
      <c r="C63" s="143">
        <f>BRUT_TOTAL2</f>
        <v>0</v>
      </c>
      <c r="D63" s="203"/>
      <c r="E63" s="217"/>
      <c r="F63" s="147"/>
      <c r="G63" s="211">
        <v>0</v>
      </c>
      <c r="H63" s="144">
        <f>ROUNDDOWN($C63*G63,2)</f>
        <v>0</v>
      </c>
      <c r="I63" s="192"/>
      <c r="J63" s="206">
        <f>E63+G63</f>
        <v>0</v>
      </c>
      <c r="K63" s="172"/>
    </row>
    <row r="64" spans="1:11" ht="15">
      <c r="A64" s="172"/>
      <c r="B64" s="216" t="s">
        <v>158</v>
      </c>
      <c r="C64" s="143">
        <f>BRUT_TOTAL2</f>
        <v>0</v>
      </c>
      <c r="D64" s="203"/>
      <c r="E64" s="217"/>
      <c r="F64" s="147"/>
      <c r="G64" s="211">
        <v>0</v>
      </c>
      <c r="H64" s="144">
        <f>ROUNDDOWN($C64*G64,2)</f>
        <v>0</v>
      </c>
      <c r="I64" s="192"/>
      <c r="J64" s="206">
        <f>E64+G64</f>
        <v>0</v>
      </c>
      <c r="K64" s="172"/>
    </row>
    <row r="65" spans="1:11" ht="15">
      <c r="A65" s="213" t="b">
        <v>1</v>
      </c>
      <c r="B65" s="216" t="s">
        <v>159</v>
      </c>
      <c r="C65" s="143">
        <f>IF(A65,H52+H53+H54+H55,0)</f>
        <v>0</v>
      </c>
      <c r="D65" s="203"/>
      <c r="E65" s="217"/>
      <c r="F65" s="147"/>
      <c r="G65" s="211">
        <v>0.08</v>
      </c>
      <c r="H65" s="144">
        <f>C65*G65</f>
        <v>0</v>
      </c>
      <c r="I65" s="192"/>
      <c r="J65" s="223">
        <f>E65+G65</f>
        <v>0.08</v>
      </c>
      <c r="K65" s="172"/>
    </row>
    <row r="66" spans="1:11" ht="15">
      <c r="A66" s="172"/>
      <c r="B66" s="202"/>
      <c r="C66" s="147"/>
      <c r="D66" s="217"/>
      <c r="E66" s="217"/>
      <c r="F66" s="147"/>
      <c r="G66" s="204"/>
      <c r="H66" s="144"/>
      <c r="I66" s="192"/>
      <c r="J66" s="206"/>
      <c r="K66" s="172"/>
    </row>
    <row r="67" spans="1:11" ht="15">
      <c r="A67" s="172"/>
      <c r="B67" s="164" t="s">
        <v>160</v>
      </c>
      <c r="C67" s="148"/>
      <c r="D67" s="225"/>
      <c r="E67" s="226" t="e">
        <f>(F67/BRUT_TOTAL2)</f>
        <v>#DIV/0!</v>
      </c>
      <c r="F67" s="148">
        <f>SUM(F28:F60)</f>
        <v>23.44</v>
      </c>
      <c r="G67" s="226" t="e">
        <f>(H67/BRUT_TOTAL2)</f>
        <v>#DIV/0!</v>
      </c>
      <c r="H67" s="149" t="e">
        <f>SUM(H28:H66)</f>
        <v>#DIV/0!</v>
      </c>
      <c r="I67" s="227"/>
      <c r="J67" s="206"/>
      <c r="K67" s="172"/>
    </row>
    <row r="68" spans="1:11" ht="15">
      <c r="A68" s="172"/>
      <c r="B68" s="224"/>
      <c r="C68" s="148"/>
      <c r="D68" s="225"/>
      <c r="E68" s="208"/>
      <c r="F68" s="148"/>
      <c r="G68" s="226"/>
      <c r="H68" s="149"/>
      <c r="I68" s="227"/>
      <c r="J68" s="206"/>
      <c r="K68" s="172"/>
    </row>
    <row r="69" spans="1:11" ht="15">
      <c r="A69" s="172"/>
      <c r="B69" s="164" t="s">
        <v>161</v>
      </c>
      <c r="C69" s="148"/>
      <c r="D69" s="225"/>
      <c r="E69" s="208"/>
      <c r="F69" s="148">
        <f>brut_TEPA2</f>
        <v>0</v>
      </c>
      <c r="G69" s="226"/>
      <c r="H69" s="149"/>
      <c r="I69" s="227"/>
      <c r="J69" s="206"/>
      <c r="K69" s="172"/>
    </row>
    <row r="70" spans="1:11" ht="15">
      <c r="A70" s="172"/>
      <c r="B70" s="202"/>
      <c r="C70" s="147"/>
      <c r="D70" s="217"/>
      <c r="E70" s="228"/>
      <c r="F70" s="147"/>
      <c r="G70" s="204"/>
      <c r="H70" s="144"/>
      <c r="I70" s="192"/>
      <c r="J70" s="206"/>
      <c r="K70" s="172"/>
    </row>
    <row r="71" spans="1:11" ht="15">
      <c r="A71" s="172"/>
      <c r="B71" s="164" t="s">
        <v>162</v>
      </c>
      <c r="C71" s="148"/>
      <c r="D71" s="225"/>
      <c r="E71" s="228"/>
      <c r="F71" s="148">
        <f>BRUT_TOTAL2-F67-F69</f>
        <v>-23.44</v>
      </c>
      <c r="G71" s="204"/>
      <c r="H71" s="144"/>
      <c r="I71" s="192"/>
      <c r="J71" s="206"/>
      <c r="K71" s="172"/>
    </row>
    <row r="72" spans="1:11" ht="15">
      <c r="A72" s="172"/>
      <c r="B72" s="202"/>
      <c r="C72" s="147"/>
      <c r="D72" s="217"/>
      <c r="E72" s="228"/>
      <c r="F72" s="147"/>
      <c r="G72" s="204"/>
      <c r="H72" s="144"/>
      <c r="I72" s="192"/>
      <c r="J72" s="206"/>
      <c r="K72" s="172"/>
    </row>
    <row r="73" spans="1:11" ht="15">
      <c r="A73" s="172"/>
      <c r="B73" s="163" t="s">
        <v>163</v>
      </c>
      <c r="C73" s="143"/>
      <c r="D73" s="203"/>
      <c r="E73" s="229"/>
      <c r="F73" s="143"/>
      <c r="G73" s="204"/>
      <c r="H73" s="144"/>
      <c r="I73" s="192"/>
      <c r="J73" s="206"/>
      <c r="K73" s="172"/>
    </row>
    <row r="74" spans="1:11" ht="15">
      <c r="A74" s="172"/>
      <c r="B74" s="202" t="s">
        <v>164</v>
      </c>
      <c r="C74" s="143">
        <f>C57</f>
        <v>0</v>
      </c>
      <c r="D74" s="203"/>
      <c r="E74" s="229">
        <v>0.024</v>
      </c>
      <c r="F74" s="143">
        <f>ROUNDDOWN($C74*E74,2)</f>
        <v>0</v>
      </c>
      <c r="G74" s="204"/>
      <c r="H74" s="144"/>
      <c r="I74" s="192"/>
      <c r="J74" s="206">
        <f>E74+G74</f>
        <v>0.024</v>
      </c>
      <c r="K74" s="172"/>
    </row>
    <row r="75" spans="1:11" ht="15">
      <c r="A75" s="172"/>
      <c r="B75" s="202" t="s">
        <v>165</v>
      </c>
      <c r="C75" s="143">
        <f>C57</f>
        <v>0</v>
      </c>
      <c r="D75" s="203"/>
      <c r="E75" s="229">
        <v>0.005</v>
      </c>
      <c r="F75" s="143">
        <f>ROUNDDOWN($C75*E75,2)</f>
        <v>0</v>
      </c>
      <c r="G75" s="204"/>
      <c r="H75" s="144"/>
      <c r="I75" s="192"/>
      <c r="J75" s="206">
        <f>E75+G75</f>
        <v>0.005</v>
      </c>
      <c r="K75" s="172"/>
    </row>
    <row r="76" spans="1:11" ht="15">
      <c r="A76" s="172"/>
      <c r="B76" s="230" t="s">
        <v>166</v>
      </c>
      <c r="C76" s="150">
        <v>0</v>
      </c>
      <c r="D76" s="231"/>
      <c r="E76" s="232">
        <v>3.5</v>
      </c>
      <c r="F76" s="143">
        <f>C76*E76</f>
        <v>0</v>
      </c>
      <c r="G76" s="204"/>
      <c r="H76" s="144"/>
      <c r="I76" s="192"/>
      <c r="J76" s="206"/>
      <c r="K76" s="172"/>
    </row>
    <row r="77" spans="1:11" ht="15">
      <c r="A77" s="172"/>
      <c r="B77" s="230" t="s">
        <v>167</v>
      </c>
      <c r="C77" s="151"/>
      <c r="D77" s="233"/>
      <c r="E77" s="234"/>
      <c r="F77" s="145">
        <v>0</v>
      </c>
      <c r="G77" s="204"/>
      <c r="H77" s="144"/>
      <c r="I77" s="192"/>
      <c r="J77" s="206"/>
      <c r="K77" s="172"/>
    </row>
    <row r="78" spans="1:11" ht="15">
      <c r="A78" s="172"/>
      <c r="B78" s="230" t="s">
        <v>168</v>
      </c>
      <c r="C78" s="151"/>
      <c r="D78" s="233"/>
      <c r="E78" s="234"/>
      <c r="F78" s="145">
        <v>0</v>
      </c>
      <c r="G78" s="204"/>
      <c r="H78" s="144"/>
      <c r="I78" s="192"/>
      <c r="J78" s="206"/>
      <c r="K78" s="172"/>
    </row>
    <row r="79" spans="1:11" ht="15">
      <c r="A79" s="172"/>
      <c r="B79" s="207" t="s">
        <v>169</v>
      </c>
      <c r="C79" s="151"/>
      <c r="D79" s="233"/>
      <c r="E79" s="234"/>
      <c r="F79" s="143"/>
      <c r="G79" s="204"/>
      <c r="H79" s="144"/>
      <c r="I79" s="192"/>
      <c r="J79" s="206"/>
      <c r="K79" s="172"/>
    </row>
    <row r="80" spans="1:11" ht="15">
      <c r="A80" s="172"/>
      <c r="B80" s="230" t="s">
        <v>170</v>
      </c>
      <c r="C80" s="152">
        <v>0</v>
      </c>
      <c r="D80" s="203"/>
      <c r="E80" s="232">
        <v>4.57</v>
      </c>
      <c r="F80" s="143">
        <f>-C80*E80</f>
        <v>0</v>
      </c>
      <c r="G80" s="204"/>
      <c r="H80" s="144"/>
      <c r="I80" s="192"/>
      <c r="J80" s="206"/>
      <c r="K80" s="172"/>
    </row>
    <row r="81" spans="1:11" ht="15">
      <c r="A81" s="172"/>
      <c r="B81" s="230" t="s">
        <v>168</v>
      </c>
      <c r="C81" s="143"/>
      <c r="D81" s="203"/>
      <c r="E81" s="229"/>
      <c r="F81" s="145">
        <v>0</v>
      </c>
      <c r="G81" s="204"/>
      <c r="H81" s="144"/>
      <c r="I81" s="192"/>
      <c r="J81" s="206"/>
      <c r="K81" s="172"/>
    </row>
    <row r="82" spans="1:11" ht="15">
      <c r="A82" s="172"/>
      <c r="B82" s="235"/>
      <c r="C82" s="143"/>
      <c r="D82" s="203"/>
      <c r="E82" s="229"/>
      <c r="F82" s="153"/>
      <c r="G82" s="204"/>
      <c r="H82" s="144"/>
      <c r="I82" s="192"/>
      <c r="J82" s="206"/>
      <c r="K82" s="172"/>
    </row>
    <row r="83" spans="1:11" ht="15">
      <c r="A83" s="172"/>
      <c r="B83" s="224" t="s">
        <v>161</v>
      </c>
      <c r="C83" s="148"/>
      <c r="D83" s="225"/>
      <c r="E83" s="208"/>
      <c r="F83" s="148">
        <f>-brut_TEPA2</f>
        <v>0</v>
      </c>
      <c r="G83" s="204"/>
      <c r="H83" s="144"/>
      <c r="I83" s="192"/>
      <c r="J83" s="206"/>
      <c r="K83" s="172"/>
    </row>
    <row r="84" spans="1:11" ht="15.75" thickBot="1">
      <c r="A84" s="172"/>
      <c r="B84" s="236"/>
      <c r="C84" s="154"/>
      <c r="D84" s="237"/>
      <c r="E84" s="238"/>
      <c r="F84" s="154"/>
      <c r="G84" s="239"/>
      <c r="H84" s="144"/>
      <c r="I84" s="192"/>
      <c r="J84" s="240"/>
      <c r="K84" s="172"/>
    </row>
    <row r="85" spans="1:11" ht="15.75" thickBot="1">
      <c r="A85" s="172"/>
      <c r="B85" s="351" t="s">
        <v>171</v>
      </c>
      <c r="C85" s="351"/>
      <c r="D85" s="351"/>
      <c r="E85" s="351"/>
      <c r="F85" s="351"/>
      <c r="G85" s="352"/>
      <c r="H85" s="241">
        <f>ROUNDDOWN(BRUT_TOTAL2-F67-SUM(F74:F78)-SUM(F80:F82),2)</f>
        <v>-23.44</v>
      </c>
      <c r="I85" s="242"/>
      <c r="J85" s="175"/>
      <c r="K85" s="172"/>
    </row>
    <row r="86" spans="1:11" ht="15.75" thickBot="1">
      <c r="A86" s="172"/>
      <c r="B86" s="172"/>
      <c r="C86" s="173"/>
      <c r="D86" s="173"/>
      <c r="E86" s="174"/>
      <c r="F86" s="173"/>
      <c r="G86" s="174"/>
      <c r="H86" s="243"/>
      <c r="I86" s="243"/>
      <c r="J86" s="175"/>
      <c r="K86" s="172"/>
    </row>
    <row r="87" spans="1:11" ht="21" thickBot="1">
      <c r="A87" s="172"/>
      <c r="B87" s="172"/>
      <c r="C87" s="173"/>
      <c r="D87" s="173"/>
      <c r="E87" s="174"/>
      <c r="F87" s="244"/>
      <c r="G87" s="245" t="s">
        <v>172</v>
      </c>
      <c r="H87" s="246">
        <f>Net</f>
        <v>-23.44</v>
      </c>
      <c r="I87" s="247"/>
      <c r="J87" s="248"/>
      <c r="K87" s="172"/>
    </row>
    <row r="88" spans="1:11" ht="15">
      <c r="A88" s="172"/>
      <c r="B88" s="172"/>
      <c r="C88" s="173"/>
      <c r="D88" s="173"/>
      <c r="E88" s="174"/>
      <c r="F88" s="173"/>
      <c r="G88" s="174"/>
      <c r="H88" s="173"/>
      <c r="I88" s="173"/>
      <c r="J88" s="175"/>
      <c r="K88" s="172"/>
    </row>
    <row r="89" spans="1:11" ht="15">
      <c r="A89" s="172"/>
      <c r="B89" s="172"/>
      <c r="C89" s="173"/>
      <c r="D89" s="173"/>
      <c r="E89" s="174"/>
      <c r="F89" s="244"/>
      <c r="G89" s="174"/>
      <c r="H89" s="173"/>
      <c r="I89" s="173"/>
      <c r="J89" s="175"/>
      <c r="K89" s="172"/>
    </row>
    <row r="90" spans="1:11" ht="15.75" thickBot="1">
      <c r="A90" s="172"/>
      <c r="B90" s="172"/>
      <c r="C90" s="173"/>
      <c r="D90" s="173"/>
      <c r="E90" s="174"/>
      <c r="F90" s="249"/>
      <c r="G90" s="250"/>
      <c r="H90" s="251"/>
      <c r="I90" s="251"/>
      <c r="J90" s="252"/>
      <c r="K90" s="253"/>
    </row>
    <row r="91" spans="1:11" ht="15.75" thickBot="1">
      <c r="A91" s="172"/>
      <c r="B91" s="172"/>
      <c r="C91" s="173"/>
      <c r="D91" s="173"/>
      <c r="E91" s="174"/>
      <c r="F91" s="254"/>
      <c r="G91" s="255" t="s">
        <v>173</v>
      </c>
      <c r="H91" s="241" t="e">
        <f>H67-F80-F81</f>
        <v>#DIV/0!</v>
      </c>
      <c r="I91" s="242"/>
      <c r="J91" s="256"/>
      <c r="K91" s="253"/>
    </row>
    <row r="92" spans="1:11" ht="15.75" thickBot="1">
      <c r="A92" s="172"/>
      <c r="B92" s="172"/>
      <c r="C92" s="173"/>
      <c r="D92" s="173"/>
      <c r="E92" s="174"/>
      <c r="F92" s="254"/>
      <c r="G92" s="257" t="s">
        <v>174</v>
      </c>
      <c r="H92" s="258" t="e">
        <f>SUM(H28:H55)+H59+H65-F80-F81</f>
        <v>#DIV/0!</v>
      </c>
      <c r="I92" s="259"/>
      <c r="J92" s="260"/>
      <c r="K92" s="261"/>
    </row>
    <row r="93" spans="1:11" ht="15.75" thickBot="1">
      <c r="A93" s="172"/>
      <c r="B93" s="172"/>
      <c r="C93" s="173"/>
      <c r="D93" s="173"/>
      <c r="E93" s="174"/>
      <c r="F93" s="254"/>
      <c r="G93" s="257" t="s">
        <v>175</v>
      </c>
      <c r="H93" s="258">
        <f>SUM(H62:H64)</f>
        <v>0</v>
      </c>
      <c r="I93" s="259"/>
      <c r="J93" s="260"/>
      <c r="K93" s="261"/>
    </row>
    <row r="94" spans="1:11" ht="15.75" thickBot="1">
      <c r="A94" s="172"/>
      <c r="B94" s="172"/>
      <c r="C94" s="173"/>
      <c r="D94" s="173"/>
      <c r="E94" s="174"/>
      <c r="F94" s="254"/>
      <c r="G94" s="257"/>
      <c r="H94" s="259"/>
      <c r="I94" s="259"/>
      <c r="J94" s="260"/>
      <c r="K94" s="261"/>
    </row>
    <row r="95" spans="1:11" ht="15.75" thickBot="1">
      <c r="A95" s="172"/>
      <c r="B95" s="172"/>
      <c r="C95" s="173"/>
      <c r="D95" s="173"/>
      <c r="E95" s="174"/>
      <c r="F95" s="254"/>
      <c r="G95" s="255" t="s">
        <v>176</v>
      </c>
      <c r="H95" s="262" t="e">
        <f>H91/BRUT_TOTAL2</f>
        <v>#DIV/0!</v>
      </c>
      <c r="I95" s="261"/>
      <c r="J95" s="260"/>
      <c r="K95" s="261"/>
    </row>
    <row r="96" spans="1:11" ht="15.75" thickBot="1">
      <c r="A96" s="172"/>
      <c r="B96" s="172"/>
      <c r="C96" s="173"/>
      <c r="D96" s="173"/>
      <c r="E96" s="174"/>
      <c r="F96" s="254"/>
      <c r="G96" s="257"/>
      <c r="H96" s="259"/>
      <c r="I96" s="259"/>
      <c r="J96" s="260"/>
      <c r="K96" s="261"/>
    </row>
    <row r="97" spans="1:11" ht="15.75" thickBot="1">
      <c r="A97" s="172"/>
      <c r="B97" s="172"/>
      <c r="C97" s="173"/>
      <c r="D97" s="173"/>
      <c r="E97" s="174"/>
      <c r="F97" s="254"/>
      <c r="G97" s="255" t="s">
        <v>177</v>
      </c>
      <c r="H97" s="241" t="e">
        <f>BRUT_TOTAL2+H67-F80</f>
        <v>#DIV/0!</v>
      </c>
      <c r="I97" s="242"/>
      <c r="J97" s="260"/>
      <c r="K97" s="261"/>
    </row>
    <row r="98" spans="1:11" ht="15">
      <c r="A98" s="172"/>
      <c r="B98" s="172"/>
      <c r="C98" s="173"/>
      <c r="D98" s="173"/>
      <c r="E98" s="174"/>
      <c r="F98" s="254"/>
      <c r="G98" s="257"/>
      <c r="H98" s="259"/>
      <c r="I98" s="259"/>
      <c r="J98" s="260"/>
      <c r="K98" s="261"/>
    </row>
    <row r="99" spans="1:11" ht="15.75" thickBot="1">
      <c r="A99" s="172"/>
      <c r="B99" s="172"/>
      <c r="C99" s="173"/>
      <c r="D99" s="173"/>
      <c r="E99" s="174"/>
      <c r="F99" s="254"/>
      <c r="G99" s="141"/>
      <c r="H99" s="140"/>
      <c r="I99" s="140"/>
      <c r="J99" s="256"/>
      <c r="K99" s="253"/>
    </row>
    <row r="100" spans="1:11" ht="15.75" thickBot="1">
      <c r="A100" s="172"/>
      <c r="B100" s="172"/>
      <c r="C100" s="173"/>
      <c r="D100" s="173"/>
      <c r="E100" s="174"/>
      <c r="F100" s="254"/>
      <c r="G100" s="255" t="s">
        <v>178</v>
      </c>
      <c r="H100" s="241">
        <f>BRUT_TOTAL2-Net</f>
        <v>23.44</v>
      </c>
      <c r="I100" s="242"/>
      <c r="J100" s="263"/>
      <c r="K100" s="253"/>
    </row>
    <row r="101" spans="1:11" ht="15.75" thickBot="1">
      <c r="A101" s="172"/>
      <c r="B101" s="172"/>
      <c r="C101" s="173"/>
      <c r="D101" s="173"/>
      <c r="E101" s="174"/>
      <c r="F101" s="254"/>
      <c r="G101" s="255"/>
      <c r="H101" s="242"/>
      <c r="I101" s="242"/>
      <c r="J101" s="260"/>
      <c r="K101" s="261"/>
    </row>
    <row r="102" spans="1:11" ht="15.75" thickBot="1">
      <c r="A102" s="172"/>
      <c r="B102" s="172"/>
      <c r="C102" s="173"/>
      <c r="D102" s="173"/>
      <c r="E102" s="174"/>
      <c r="F102" s="254"/>
      <c r="G102" s="255" t="s">
        <v>179</v>
      </c>
      <c r="H102" s="262" t="e">
        <f>H100/BRUT_TOTAL2</f>
        <v>#DIV/0!</v>
      </c>
      <c r="I102" s="261"/>
      <c r="J102" s="260"/>
      <c r="K102" s="261"/>
    </row>
    <row r="103" spans="1:11" ht="15.75" thickBot="1">
      <c r="A103" s="172"/>
      <c r="B103" s="172"/>
      <c r="C103" s="173"/>
      <c r="D103" s="173"/>
      <c r="E103" s="174"/>
      <c r="F103" s="254"/>
      <c r="G103" s="141"/>
      <c r="H103" s="140"/>
      <c r="I103" s="140"/>
      <c r="J103" s="256"/>
      <c r="K103" s="253"/>
    </row>
    <row r="104" spans="1:11" ht="15.75" thickBot="1">
      <c r="A104" s="172"/>
      <c r="B104" s="172"/>
      <c r="C104" s="173"/>
      <c r="D104" s="173"/>
      <c r="E104" s="174"/>
      <c r="F104" s="254"/>
      <c r="G104" s="255" t="s">
        <v>180</v>
      </c>
      <c r="H104" s="241" t="e">
        <f>H91+H100</f>
        <v>#DIV/0!</v>
      </c>
      <c r="I104" s="242"/>
      <c r="J104" s="256"/>
      <c r="K104" s="253"/>
    </row>
    <row r="105" spans="1:11" ht="15">
      <c r="A105" s="172"/>
      <c r="B105" s="172"/>
      <c r="C105" s="173"/>
      <c r="D105" s="173"/>
      <c r="E105" s="174"/>
      <c r="F105" s="264"/>
      <c r="G105" s="265"/>
      <c r="H105" s="266"/>
      <c r="I105" s="266"/>
      <c r="J105" s="267"/>
      <c r="K105" s="253"/>
    </row>
    <row r="106" spans="1:11" ht="15">
      <c r="A106" s="172"/>
      <c r="B106" s="172"/>
      <c r="C106" s="173"/>
      <c r="D106" s="173"/>
      <c r="E106" s="174"/>
      <c r="F106" s="173"/>
      <c r="G106" s="174"/>
      <c r="H106" s="173"/>
      <c r="I106" s="173"/>
      <c r="J106" s="175"/>
      <c r="K106" s="172"/>
    </row>
    <row r="107" spans="1:11" ht="15">
      <c r="A107" s="172"/>
      <c r="B107" s="172"/>
      <c r="C107" s="173"/>
      <c r="D107" s="173"/>
      <c r="E107" s="174"/>
      <c r="F107" s="173"/>
      <c r="G107" s="169" t="s">
        <v>181</v>
      </c>
      <c r="H107" s="169" t="s">
        <v>182</v>
      </c>
      <c r="I107" s="173"/>
      <c r="J107" s="175"/>
      <c r="K107" s="172"/>
    </row>
    <row r="108" spans="1:11" ht="15">
      <c r="A108" s="172"/>
      <c r="B108" s="172"/>
      <c r="C108" s="173"/>
      <c r="D108" s="173"/>
      <c r="E108" s="174"/>
      <c r="F108" s="173"/>
      <c r="G108" s="268" t="e">
        <f>IF(0.281/0.6*((1.6*(C20*151.67*(C9/C10))/BRUT_TOTAL2)-1)&gt;0,IF(0.281/0.6*((1.6*(C20*151.67*(C9/C10))/BRUT_TOTAL2)-1)&lt;0.281,0.281/0.6*((1.6*(C20*151.67*(C9/C10))/BRUT_TOTAL2)-1),0.281),0)</f>
        <v>#DIV/0!</v>
      </c>
      <c r="H108" s="268" t="e">
        <f>IF(0.26/0.6*((1.6*(C20*151.67*(C9/C10))/BRUT_TOTAL2)-1)&gt;0,IF(0.26/0.6*((1.6*(C20*151.67*(C9/C10))/BRUT_TOTAL2)-1)&lt;0.26,0.26/0.6*((1.6*(C20*151.67*(C9/C10))/BRUT_TOTAL2)-1),0.26),0)</f>
        <v>#DIV/0!</v>
      </c>
      <c r="I108" s="173"/>
      <c r="J108" s="175"/>
      <c r="K108" s="172"/>
    </row>
    <row r="109" spans="1:11" ht="15">
      <c r="A109" s="172"/>
      <c r="B109" s="172"/>
      <c r="C109" s="173"/>
      <c r="D109" s="173"/>
      <c r="E109" s="174"/>
      <c r="F109" s="173"/>
      <c r="G109" s="174"/>
      <c r="H109" s="173"/>
      <c r="I109" s="173"/>
      <c r="J109" s="175"/>
      <c r="K109" s="172"/>
    </row>
    <row r="110" spans="1:11" ht="15">
      <c r="A110" s="172"/>
      <c r="B110" s="172"/>
      <c r="C110" s="173"/>
      <c r="D110" s="173"/>
      <c r="E110" s="174"/>
      <c r="F110" s="173"/>
      <c r="G110" s="174"/>
      <c r="H110" s="173"/>
      <c r="I110" s="173"/>
      <c r="J110" s="175"/>
      <c r="K110" s="172"/>
    </row>
    <row r="111" spans="1:11" ht="15">
      <c r="A111" s="172"/>
      <c r="B111" s="172"/>
      <c r="C111" s="173"/>
      <c r="D111" s="173"/>
      <c r="E111" s="174"/>
      <c r="F111" s="173"/>
      <c r="G111" s="174"/>
      <c r="H111" s="173"/>
      <c r="I111" s="173"/>
      <c r="J111" s="175"/>
      <c r="K111" s="172"/>
    </row>
    <row r="112" spans="1:11" ht="15">
      <c r="A112" s="172"/>
      <c r="B112" s="172"/>
      <c r="C112" s="173"/>
      <c r="D112" s="173"/>
      <c r="E112" s="174"/>
      <c r="F112" s="173"/>
      <c r="G112" s="174"/>
      <c r="H112" s="173"/>
      <c r="I112" s="173"/>
      <c r="J112" s="175"/>
      <c r="K112" s="172"/>
    </row>
    <row r="113" spans="1:11" ht="15">
      <c r="A113" s="172"/>
      <c r="B113" s="172"/>
      <c r="C113" s="173"/>
      <c r="D113" s="173"/>
      <c r="E113" s="174"/>
      <c r="F113" s="173"/>
      <c r="G113" s="174"/>
      <c r="H113" s="173"/>
      <c r="I113" s="173"/>
      <c r="J113" s="175"/>
      <c r="K113" s="172"/>
    </row>
    <row r="114" spans="1:11" ht="15">
      <c r="A114" s="172"/>
      <c r="B114" s="172"/>
      <c r="C114" s="173"/>
      <c r="D114" s="173"/>
      <c r="E114" s="174"/>
      <c r="F114" s="173"/>
      <c r="G114" s="174"/>
      <c r="H114" s="173"/>
      <c r="I114" s="173"/>
      <c r="J114" s="175"/>
      <c r="K114" s="172"/>
    </row>
    <row r="115" spans="1:11" ht="15">
      <c r="A115" s="172"/>
      <c r="B115" s="172"/>
      <c r="C115" s="173"/>
      <c r="D115" s="173"/>
      <c r="E115" s="174"/>
      <c r="F115" s="173"/>
      <c r="G115" s="174"/>
      <c r="H115" s="173"/>
      <c r="I115" s="173"/>
      <c r="J115" s="175"/>
      <c r="K115" s="172"/>
    </row>
    <row r="116" spans="1:11" ht="15">
      <c r="A116" s="172"/>
      <c r="B116" s="172"/>
      <c r="C116" s="173"/>
      <c r="D116" s="173"/>
      <c r="E116" s="174"/>
      <c r="F116" s="173"/>
      <c r="G116" s="174"/>
      <c r="H116" s="173"/>
      <c r="I116" s="173"/>
      <c r="J116" s="175"/>
      <c r="K116" s="172"/>
    </row>
    <row r="117" spans="1:11" ht="15">
      <c r="A117" s="172"/>
      <c r="B117" s="172"/>
      <c r="C117" s="173"/>
      <c r="D117" s="173"/>
      <c r="E117" s="174"/>
      <c r="F117" s="173"/>
      <c r="G117" s="174"/>
      <c r="H117" s="173"/>
      <c r="I117" s="173"/>
      <c r="J117" s="175"/>
      <c r="K117" s="172"/>
    </row>
    <row r="118" spans="1:11" ht="15">
      <c r="A118" s="172"/>
      <c r="B118" s="172"/>
      <c r="C118" s="173"/>
      <c r="D118" s="173"/>
      <c r="E118" s="174"/>
      <c r="F118" s="173"/>
      <c r="G118" s="174"/>
      <c r="H118" s="173"/>
      <c r="I118" s="173"/>
      <c r="J118" s="175"/>
      <c r="K118" s="172"/>
    </row>
    <row r="119" spans="1:11" ht="15">
      <c r="A119" s="172"/>
      <c r="B119" s="172"/>
      <c r="C119" s="173"/>
      <c r="D119" s="173"/>
      <c r="E119" s="174"/>
      <c r="F119" s="173"/>
      <c r="G119" s="174"/>
      <c r="H119" s="173"/>
      <c r="I119" s="173"/>
      <c r="J119" s="175"/>
      <c r="K119" s="172"/>
    </row>
    <row r="120" spans="1:11" ht="15">
      <c r="A120" s="172"/>
      <c r="B120" s="172"/>
      <c r="C120" s="173"/>
      <c r="D120" s="173"/>
      <c r="E120" s="174"/>
      <c r="F120" s="173"/>
      <c r="G120" s="174"/>
      <c r="H120" s="173"/>
      <c r="I120" s="173"/>
      <c r="J120" s="175"/>
      <c r="K120" s="172"/>
    </row>
    <row r="121" spans="1:11" ht="15">
      <c r="A121" s="172"/>
      <c r="B121" s="172"/>
      <c r="C121" s="173"/>
      <c r="D121" s="173"/>
      <c r="E121" s="174"/>
      <c r="F121" s="173"/>
      <c r="G121" s="174"/>
      <c r="H121" s="173"/>
      <c r="I121" s="173"/>
      <c r="J121" s="175"/>
      <c r="K121" s="172"/>
    </row>
    <row r="122" spans="1:11" ht="15">
      <c r="A122" s="172"/>
      <c r="B122" s="172"/>
      <c r="C122" s="173"/>
      <c r="D122" s="173"/>
      <c r="E122" s="174"/>
      <c r="F122" s="173"/>
      <c r="G122" s="174"/>
      <c r="H122" s="173"/>
      <c r="I122" s="173"/>
      <c r="J122" s="175"/>
      <c r="K122" s="172"/>
    </row>
    <row r="123" spans="1:11" ht="15">
      <c r="A123" s="172"/>
      <c r="B123" s="172"/>
      <c r="C123" s="173"/>
      <c r="D123" s="173"/>
      <c r="E123" s="174"/>
      <c r="F123" s="173"/>
      <c r="G123" s="174"/>
      <c r="H123" s="173"/>
      <c r="I123" s="173"/>
      <c r="J123" s="175"/>
      <c r="K123" s="172"/>
    </row>
    <row r="124" spans="1:11" ht="15">
      <c r="A124" s="172"/>
      <c r="B124" s="172"/>
      <c r="C124" s="173"/>
      <c r="D124" s="173"/>
      <c r="E124" s="174"/>
      <c r="F124" s="173"/>
      <c r="G124" s="174"/>
      <c r="H124" s="173"/>
      <c r="I124" s="173"/>
      <c r="J124" s="175"/>
      <c r="K124" s="172"/>
    </row>
    <row r="125" spans="1:11" ht="15">
      <c r="A125" s="172"/>
      <c r="B125" s="172"/>
      <c r="C125" s="173"/>
      <c r="D125" s="173"/>
      <c r="E125" s="174"/>
      <c r="F125" s="173"/>
      <c r="G125" s="174"/>
      <c r="H125" s="173"/>
      <c r="I125" s="173"/>
      <c r="J125" s="175"/>
      <c r="K125" s="172"/>
    </row>
    <row r="126" spans="1:11" ht="15">
      <c r="A126" s="172"/>
      <c r="B126" s="172"/>
      <c r="C126" s="173"/>
      <c r="D126" s="173"/>
      <c r="E126" s="174"/>
      <c r="F126" s="173"/>
      <c r="G126" s="174"/>
      <c r="H126" s="173"/>
      <c r="I126" s="173"/>
      <c r="J126" s="175"/>
      <c r="K126" s="172"/>
    </row>
    <row r="127" spans="1:11" ht="15">
      <c r="A127" s="172"/>
      <c r="B127" s="173"/>
      <c r="C127" s="173"/>
      <c r="D127" s="173"/>
      <c r="E127" s="174"/>
      <c r="F127" s="173"/>
      <c r="G127" s="174"/>
      <c r="H127" s="173"/>
      <c r="I127" s="173"/>
      <c r="J127" s="175"/>
      <c r="K127" s="172"/>
    </row>
    <row r="128" spans="1:11" ht="15">
      <c r="A128" s="172"/>
      <c r="B128" s="172"/>
      <c r="C128" s="173"/>
      <c r="D128" s="173"/>
      <c r="E128" s="174"/>
      <c r="F128" s="173"/>
      <c r="G128" s="174"/>
      <c r="H128" s="173"/>
      <c r="I128" s="173"/>
      <c r="J128" s="175"/>
      <c r="K128" s="172"/>
    </row>
    <row r="129" spans="1:11" ht="15">
      <c r="A129" s="172"/>
      <c r="B129" s="172"/>
      <c r="C129" s="173"/>
      <c r="D129" s="173"/>
      <c r="E129" s="174"/>
      <c r="F129" s="173"/>
      <c r="G129" s="174"/>
      <c r="H129" s="173"/>
      <c r="I129" s="173"/>
      <c r="J129" s="175"/>
      <c r="K129" s="172"/>
    </row>
    <row r="130" spans="1:11" ht="15">
      <c r="A130" s="172"/>
      <c r="B130" s="172"/>
      <c r="C130" s="173"/>
      <c r="D130" s="173"/>
      <c r="E130" s="174"/>
      <c r="F130" s="173"/>
      <c r="G130" s="174"/>
      <c r="H130" s="173"/>
      <c r="I130" s="173"/>
      <c r="J130" s="175"/>
      <c r="K130" s="172"/>
    </row>
    <row r="131" spans="1:11" ht="15">
      <c r="A131" s="172"/>
      <c r="B131" s="172"/>
      <c r="C131" s="173"/>
      <c r="D131" s="173"/>
      <c r="E131" s="174"/>
      <c r="F131" s="173"/>
      <c r="G131" s="174"/>
      <c r="H131" s="173"/>
      <c r="I131" s="173"/>
      <c r="J131" s="175"/>
      <c r="K131" s="172"/>
    </row>
    <row r="132" spans="1:11" ht="15">
      <c r="A132" s="172"/>
      <c r="B132" s="172"/>
      <c r="C132" s="173"/>
      <c r="D132" s="173"/>
      <c r="E132" s="174"/>
      <c r="F132" s="173"/>
      <c r="G132" s="174"/>
      <c r="H132" s="173"/>
      <c r="I132" s="173"/>
      <c r="J132" s="175"/>
      <c r="K132" s="172"/>
    </row>
    <row r="133" spans="1:11" ht="15">
      <c r="A133" s="172"/>
      <c r="B133" s="172"/>
      <c r="C133" s="173"/>
      <c r="D133" s="173"/>
      <c r="E133" s="174"/>
      <c r="F133" s="173"/>
      <c r="G133" s="174"/>
      <c r="H133" s="173"/>
      <c r="I133" s="173"/>
      <c r="J133" s="175"/>
      <c r="K133" s="172"/>
    </row>
    <row r="134" spans="1:11" ht="15">
      <c r="A134" s="172"/>
      <c r="B134" s="172"/>
      <c r="C134" s="173"/>
      <c r="D134" s="173"/>
      <c r="E134" s="174"/>
      <c r="F134" s="173"/>
      <c r="G134" s="174"/>
      <c r="H134" s="173"/>
      <c r="I134" s="173"/>
      <c r="J134" s="175"/>
      <c r="K134" s="172"/>
    </row>
    <row r="135" spans="1:11" ht="15">
      <c r="A135" s="172"/>
      <c r="B135" s="172"/>
      <c r="C135" s="173"/>
      <c r="D135" s="173"/>
      <c r="E135" s="174"/>
      <c r="F135" s="173"/>
      <c r="G135" s="174"/>
      <c r="H135" s="173"/>
      <c r="I135" s="173"/>
      <c r="J135" s="175"/>
      <c r="K135" s="172"/>
    </row>
    <row r="136" spans="1:11" ht="15">
      <c r="A136" s="172"/>
      <c r="B136" s="172"/>
      <c r="C136" s="173"/>
      <c r="D136" s="173"/>
      <c r="E136" s="174"/>
      <c r="F136" s="173"/>
      <c r="G136" s="174"/>
      <c r="H136" s="173"/>
      <c r="I136" s="173"/>
      <c r="J136" s="175"/>
      <c r="K136" s="172"/>
    </row>
    <row r="137" spans="1:11" ht="15">
      <c r="A137" s="172"/>
      <c r="B137" s="172"/>
      <c r="C137" s="173"/>
      <c r="D137" s="173"/>
      <c r="E137" s="174"/>
      <c r="F137" s="173"/>
      <c r="G137" s="174"/>
      <c r="H137" s="173"/>
      <c r="I137" s="173"/>
      <c r="J137" s="175"/>
      <c r="K137" s="172"/>
    </row>
    <row r="138" spans="1:11" ht="15">
      <c r="A138" s="172"/>
      <c r="B138" s="172"/>
      <c r="C138" s="173"/>
      <c r="D138" s="173"/>
      <c r="E138" s="174"/>
      <c r="F138" s="173"/>
      <c r="G138" s="174"/>
      <c r="H138" s="173"/>
      <c r="I138" s="173"/>
      <c r="J138" s="175"/>
      <c r="K138" s="172"/>
    </row>
    <row r="139" spans="1:11" ht="15">
      <c r="A139" s="172"/>
      <c r="B139" s="172"/>
      <c r="C139" s="173"/>
      <c r="D139" s="173"/>
      <c r="E139" s="174"/>
      <c r="F139" s="173"/>
      <c r="G139" s="174"/>
      <c r="H139" s="173"/>
      <c r="I139" s="173"/>
      <c r="J139" s="175"/>
      <c r="K139" s="172"/>
    </row>
    <row r="140" spans="1:11" ht="15">
      <c r="A140" s="172"/>
      <c r="B140" s="172"/>
      <c r="C140" s="173"/>
      <c r="D140" s="173"/>
      <c r="E140" s="174"/>
      <c r="F140" s="173"/>
      <c r="G140" s="174"/>
      <c r="H140" s="173"/>
      <c r="I140" s="173"/>
      <c r="J140" s="175"/>
      <c r="K140" s="172"/>
    </row>
    <row r="141" spans="1:11" ht="15">
      <c r="A141" s="172"/>
      <c r="B141" s="172"/>
      <c r="C141" s="173"/>
      <c r="D141" s="173"/>
      <c r="E141" s="174"/>
      <c r="F141" s="173"/>
      <c r="G141" s="174"/>
      <c r="H141" s="173"/>
      <c r="I141" s="173"/>
      <c r="J141" s="175"/>
      <c r="K141" s="172"/>
    </row>
    <row r="142" spans="1:11" ht="15">
      <c r="A142" s="172"/>
      <c r="B142" s="172"/>
      <c r="C142" s="173"/>
      <c r="D142" s="173"/>
      <c r="E142" s="174"/>
      <c r="F142" s="173"/>
      <c r="G142" s="174"/>
      <c r="H142" s="173"/>
      <c r="I142" s="173"/>
      <c r="J142" s="175"/>
      <c r="K142" s="172"/>
    </row>
    <row r="143" spans="1:11" ht="15">
      <c r="A143" s="172"/>
      <c r="B143" s="172"/>
      <c r="C143" s="173"/>
      <c r="D143" s="173"/>
      <c r="E143" s="174"/>
      <c r="F143" s="173"/>
      <c r="G143" s="174"/>
      <c r="H143" s="173"/>
      <c r="I143" s="173"/>
      <c r="J143" s="175"/>
      <c r="K143" s="172"/>
    </row>
    <row r="144" spans="1:11" ht="15">
      <c r="A144" s="172"/>
      <c r="B144" s="172"/>
      <c r="C144" s="173"/>
      <c r="D144" s="173"/>
      <c r="E144" s="174"/>
      <c r="F144" s="173"/>
      <c r="G144" s="174"/>
      <c r="H144" s="173"/>
      <c r="I144" s="173"/>
      <c r="J144" s="175"/>
      <c r="K144" s="172"/>
    </row>
    <row r="145" spans="1:11" ht="15">
      <c r="A145" s="172"/>
      <c r="B145" s="172"/>
      <c r="C145" s="173"/>
      <c r="D145" s="173"/>
      <c r="E145" s="174"/>
      <c r="F145" s="173"/>
      <c r="G145" s="174"/>
      <c r="H145" s="173"/>
      <c r="I145" s="173"/>
      <c r="J145" s="175"/>
      <c r="K145" s="172"/>
    </row>
    <row r="146" spans="1:11" ht="15">
      <c r="A146" s="172"/>
      <c r="B146" s="172"/>
      <c r="C146" s="173"/>
      <c r="D146" s="173"/>
      <c r="E146" s="174"/>
      <c r="F146" s="173"/>
      <c r="G146" s="174"/>
      <c r="H146" s="173"/>
      <c r="I146" s="173"/>
      <c r="J146" s="175"/>
      <c r="K146" s="172"/>
    </row>
    <row r="147" spans="1:11" ht="15">
      <c r="A147" s="172"/>
      <c r="B147" s="172"/>
      <c r="C147" s="173"/>
      <c r="D147" s="173"/>
      <c r="E147" s="174"/>
      <c r="F147" s="173"/>
      <c r="G147" s="174"/>
      <c r="H147" s="173"/>
      <c r="I147" s="173"/>
      <c r="J147" s="175"/>
      <c r="K147" s="172"/>
    </row>
    <row r="148" spans="1:11" ht="15">
      <c r="A148" s="172"/>
      <c r="B148" s="172"/>
      <c r="C148" s="173"/>
      <c r="D148" s="173"/>
      <c r="E148" s="174"/>
      <c r="F148" s="173"/>
      <c r="G148" s="174"/>
      <c r="H148" s="173"/>
      <c r="I148" s="173"/>
      <c r="J148" s="175"/>
      <c r="K148" s="172"/>
    </row>
    <row r="149" spans="1:11" ht="15">
      <c r="A149" s="172"/>
      <c r="B149" s="172"/>
      <c r="C149" s="173"/>
      <c r="D149" s="173"/>
      <c r="E149" s="174"/>
      <c r="F149" s="173"/>
      <c r="G149" s="174"/>
      <c r="H149" s="173"/>
      <c r="I149" s="173"/>
      <c r="J149" s="175"/>
      <c r="K149" s="172"/>
    </row>
    <row r="150" spans="1:11" ht="15">
      <c r="A150" s="172"/>
      <c r="B150" s="172"/>
      <c r="C150" s="173"/>
      <c r="D150" s="173"/>
      <c r="E150" s="174"/>
      <c r="F150" s="173"/>
      <c r="G150" s="174"/>
      <c r="H150" s="173"/>
      <c r="I150" s="173"/>
      <c r="J150" s="175"/>
      <c r="K150" s="172"/>
    </row>
    <row r="151" spans="1:11" ht="15">
      <c r="A151" s="172"/>
      <c r="B151" s="172"/>
      <c r="C151" s="173"/>
      <c r="D151" s="173"/>
      <c r="E151" s="174"/>
      <c r="F151" s="173"/>
      <c r="G151" s="174"/>
      <c r="H151" s="173"/>
      <c r="I151" s="173"/>
      <c r="J151" s="175"/>
      <c r="K151" s="172"/>
    </row>
    <row r="152" spans="1:11" ht="15">
      <c r="A152" s="172"/>
      <c r="B152" s="172"/>
      <c r="C152" s="173"/>
      <c r="D152" s="173"/>
      <c r="E152" s="174"/>
      <c r="F152" s="173"/>
      <c r="G152" s="174"/>
      <c r="H152" s="173"/>
      <c r="I152" s="173"/>
      <c r="J152" s="175"/>
      <c r="K152" s="172"/>
    </row>
    <row r="153" spans="1:11" ht="15">
      <c r="A153" s="172"/>
      <c r="B153" s="172"/>
      <c r="C153" s="173"/>
      <c r="D153" s="173"/>
      <c r="E153" s="174"/>
      <c r="F153" s="173"/>
      <c r="G153" s="174"/>
      <c r="H153" s="173"/>
      <c r="I153" s="173"/>
      <c r="J153" s="175"/>
      <c r="K153" s="172"/>
    </row>
    <row r="154" spans="1:11" ht="15">
      <c r="A154" s="172"/>
      <c r="B154" s="172"/>
      <c r="C154" s="173"/>
      <c r="D154" s="173"/>
      <c r="E154" s="174"/>
      <c r="F154" s="173"/>
      <c r="G154" s="174"/>
      <c r="H154" s="173"/>
      <c r="I154" s="173"/>
      <c r="J154" s="175"/>
      <c r="K154" s="172"/>
    </row>
    <row r="155" spans="1:11" ht="15">
      <c r="A155" s="172"/>
      <c r="B155" s="172"/>
      <c r="C155" s="173"/>
      <c r="D155" s="173"/>
      <c r="E155" s="174"/>
      <c r="F155" s="173"/>
      <c r="G155" s="174"/>
      <c r="H155" s="173"/>
      <c r="I155" s="173"/>
      <c r="J155" s="175"/>
      <c r="K155" s="172"/>
    </row>
    <row r="156" spans="1:11" ht="15">
      <c r="A156" s="172"/>
      <c r="B156" s="172"/>
      <c r="C156" s="173"/>
      <c r="D156" s="173"/>
      <c r="E156" s="174"/>
      <c r="F156" s="173"/>
      <c r="G156" s="174"/>
      <c r="H156" s="173"/>
      <c r="I156" s="173"/>
      <c r="J156" s="175"/>
      <c r="K156" s="172"/>
    </row>
    <row r="157" spans="1:11" ht="15">
      <c r="A157" s="172"/>
      <c r="B157" s="172"/>
      <c r="C157" s="173"/>
      <c r="D157" s="173"/>
      <c r="E157" s="174"/>
      <c r="F157" s="173"/>
      <c r="G157" s="174"/>
      <c r="H157" s="173"/>
      <c r="I157" s="173"/>
      <c r="J157" s="175"/>
      <c r="K157" s="172"/>
    </row>
    <row r="158" spans="1:11" ht="15">
      <c r="A158" s="172"/>
      <c r="B158" s="172"/>
      <c r="C158" s="173"/>
      <c r="D158" s="173"/>
      <c r="E158" s="174"/>
      <c r="F158" s="173"/>
      <c r="G158" s="174"/>
      <c r="H158" s="173"/>
      <c r="I158" s="173"/>
      <c r="J158" s="175"/>
      <c r="K158" s="172"/>
    </row>
    <row r="159" spans="1:11" ht="15">
      <c r="A159" s="172"/>
      <c r="B159" s="172"/>
      <c r="C159" s="173"/>
      <c r="D159" s="173"/>
      <c r="E159" s="174"/>
      <c r="F159" s="173"/>
      <c r="G159" s="174"/>
      <c r="H159" s="173"/>
      <c r="I159" s="173"/>
      <c r="J159" s="175"/>
      <c r="K159" s="172"/>
    </row>
    <row r="160" spans="1:11" ht="15">
      <c r="A160" s="172"/>
      <c r="B160" s="172"/>
      <c r="C160" s="173"/>
      <c r="D160" s="173"/>
      <c r="E160" s="174"/>
      <c r="F160" s="173"/>
      <c r="G160" s="174"/>
      <c r="H160" s="173"/>
      <c r="I160" s="173"/>
      <c r="J160" s="175"/>
      <c r="K160" s="172"/>
    </row>
    <row r="161" spans="1:11" ht="15">
      <c r="A161" s="172"/>
      <c r="B161" s="172"/>
      <c r="C161" s="173"/>
      <c r="D161" s="173"/>
      <c r="E161" s="174"/>
      <c r="F161" s="173"/>
      <c r="G161" s="174"/>
      <c r="H161" s="173"/>
      <c r="I161" s="173"/>
      <c r="J161" s="175"/>
      <c r="K161" s="172"/>
    </row>
    <row r="162" spans="1:11" ht="15">
      <c r="A162" s="172"/>
      <c r="B162" s="172"/>
      <c r="C162" s="173"/>
      <c r="D162" s="173"/>
      <c r="E162" s="174"/>
      <c r="F162" s="173"/>
      <c r="G162" s="174"/>
      <c r="H162" s="173"/>
      <c r="I162" s="173"/>
      <c r="J162" s="175"/>
      <c r="K162" s="172"/>
    </row>
    <row r="163" spans="1:11" ht="15">
      <c r="A163" s="172"/>
      <c r="B163" s="172"/>
      <c r="C163" s="173"/>
      <c r="D163" s="173"/>
      <c r="E163" s="174"/>
      <c r="F163" s="173"/>
      <c r="G163" s="174"/>
      <c r="H163" s="173"/>
      <c r="I163" s="173"/>
      <c r="J163" s="175"/>
      <c r="K163" s="172"/>
    </row>
    <row r="164" spans="1:11" ht="15">
      <c r="A164" s="172"/>
      <c r="B164" s="172"/>
      <c r="C164" s="173"/>
      <c r="D164" s="173"/>
      <c r="E164" s="174"/>
      <c r="F164" s="173"/>
      <c r="G164" s="174"/>
      <c r="H164" s="173"/>
      <c r="I164" s="173"/>
      <c r="J164" s="175"/>
      <c r="K164" s="172"/>
    </row>
    <row r="165" spans="1:11" ht="15">
      <c r="A165" s="172"/>
      <c r="B165" s="172"/>
      <c r="C165" s="173"/>
      <c r="D165" s="173"/>
      <c r="E165" s="174"/>
      <c r="F165" s="173"/>
      <c r="G165" s="174"/>
      <c r="H165" s="173"/>
      <c r="I165" s="173"/>
      <c r="J165" s="175"/>
      <c r="K165" s="172"/>
    </row>
    <row r="166" spans="1:11" ht="15">
      <c r="A166" s="172"/>
      <c r="B166" s="172"/>
      <c r="C166" s="173"/>
      <c r="D166" s="173"/>
      <c r="E166" s="174"/>
      <c r="F166" s="173"/>
      <c r="G166" s="174"/>
      <c r="H166" s="173"/>
      <c r="I166" s="173"/>
      <c r="J166" s="175"/>
      <c r="K166" s="172"/>
    </row>
    <row r="167" spans="1:11" ht="15">
      <c r="A167" s="172"/>
      <c r="B167" s="172"/>
      <c r="C167" s="173"/>
      <c r="D167" s="173"/>
      <c r="E167" s="174"/>
      <c r="F167" s="173"/>
      <c r="G167" s="174"/>
      <c r="H167" s="173"/>
      <c r="I167" s="173"/>
      <c r="J167" s="175"/>
      <c r="K167" s="172"/>
    </row>
    <row r="168" spans="1:11" ht="15">
      <c r="A168" s="172"/>
      <c r="B168" s="172"/>
      <c r="C168" s="173"/>
      <c r="D168" s="173"/>
      <c r="E168" s="174"/>
      <c r="F168" s="173"/>
      <c r="G168" s="174"/>
      <c r="H168" s="173"/>
      <c r="I168" s="173"/>
      <c r="J168" s="175"/>
      <c r="K168" s="172"/>
    </row>
    <row r="169" spans="1:11" ht="15">
      <c r="A169" s="172"/>
      <c r="B169" s="172"/>
      <c r="C169" s="173"/>
      <c r="D169" s="173"/>
      <c r="E169" s="174"/>
      <c r="F169" s="173"/>
      <c r="G169" s="174"/>
      <c r="H169" s="173"/>
      <c r="I169" s="173"/>
      <c r="J169" s="175"/>
      <c r="K169" s="172"/>
    </row>
    <row r="170" spans="1:11" ht="15">
      <c r="A170" s="172"/>
      <c r="B170" s="172"/>
      <c r="C170" s="173"/>
      <c r="D170" s="173"/>
      <c r="E170" s="174"/>
      <c r="F170" s="173"/>
      <c r="G170" s="174"/>
      <c r="H170" s="173"/>
      <c r="I170" s="173"/>
      <c r="J170" s="175"/>
      <c r="K170" s="172"/>
    </row>
    <row r="171" spans="1:11" ht="15">
      <c r="A171" s="172"/>
      <c r="B171" s="172"/>
      <c r="C171" s="173"/>
      <c r="D171" s="173"/>
      <c r="E171" s="174"/>
      <c r="F171" s="173"/>
      <c r="G171" s="174"/>
      <c r="H171" s="173"/>
      <c r="I171" s="173"/>
      <c r="J171" s="175"/>
      <c r="K171" s="172"/>
    </row>
    <row r="172" spans="1:11" ht="15">
      <c r="A172" s="172"/>
      <c r="B172" s="172"/>
      <c r="C172" s="173"/>
      <c r="D172" s="173"/>
      <c r="E172" s="174"/>
      <c r="F172" s="173"/>
      <c r="G172" s="174"/>
      <c r="H172" s="173"/>
      <c r="I172" s="173"/>
      <c r="J172" s="175"/>
      <c r="K172" s="172"/>
    </row>
    <row r="173" spans="1:11" ht="15">
      <c r="A173" s="172"/>
      <c r="B173" s="172"/>
      <c r="C173" s="173"/>
      <c r="D173" s="173"/>
      <c r="E173" s="174"/>
      <c r="F173" s="173"/>
      <c r="G173" s="174"/>
      <c r="H173" s="173"/>
      <c r="I173" s="173"/>
      <c r="J173" s="175"/>
      <c r="K173" s="172"/>
    </row>
    <row r="174" spans="1:11" ht="15">
      <c r="A174" s="172"/>
      <c r="B174" s="172"/>
      <c r="C174" s="173"/>
      <c r="D174" s="173"/>
      <c r="E174" s="174"/>
      <c r="F174" s="173"/>
      <c r="G174" s="174"/>
      <c r="H174" s="173"/>
      <c r="I174" s="173"/>
      <c r="J174" s="175"/>
      <c r="K174" s="172"/>
    </row>
    <row r="175" spans="1:11" ht="15">
      <c r="A175" s="172"/>
      <c r="B175" s="172"/>
      <c r="C175" s="173"/>
      <c r="D175" s="173"/>
      <c r="E175" s="174"/>
      <c r="F175" s="173"/>
      <c r="G175" s="174"/>
      <c r="H175" s="173"/>
      <c r="I175" s="173"/>
      <c r="J175" s="175"/>
      <c r="K175" s="172"/>
    </row>
    <row r="176" spans="1:11" ht="15">
      <c r="A176" s="172"/>
      <c r="B176" s="172"/>
      <c r="C176" s="173"/>
      <c r="D176" s="173"/>
      <c r="E176" s="174"/>
      <c r="F176" s="173"/>
      <c r="G176" s="174"/>
      <c r="H176" s="173"/>
      <c r="I176" s="173"/>
      <c r="J176" s="175"/>
      <c r="K176" s="172"/>
    </row>
    <row r="177" spans="1:11" ht="15">
      <c r="A177" s="172"/>
      <c r="B177" s="172"/>
      <c r="C177" s="173"/>
      <c r="D177" s="173"/>
      <c r="E177" s="174"/>
      <c r="F177" s="173"/>
      <c r="G177" s="174"/>
      <c r="H177" s="173"/>
      <c r="I177" s="173"/>
      <c r="J177" s="175"/>
      <c r="K177" s="172"/>
    </row>
    <row r="178" spans="1:11" ht="15">
      <c r="A178" s="172"/>
      <c r="B178" s="172"/>
      <c r="C178" s="173"/>
      <c r="D178" s="173"/>
      <c r="E178" s="174"/>
      <c r="F178" s="173"/>
      <c r="G178" s="174"/>
      <c r="H178" s="173"/>
      <c r="I178" s="173"/>
      <c r="J178" s="175"/>
      <c r="K178" s="172"/>
    </row>
    <row r="179" spans="1:11" ht="15">
      <c r="A179" s="172"/>
      <c r="B179" s="172"/>
      <c r="C179" s="173"/>
      <c r="D179" s="173"/>
      <c r="E179" s="174"/>
      <c r="F179" s="173"/>
      <c r="G179" s="174"/>
      <c r="H179" s="173"/>
      <c r="I179" s="173"/>
      <c r="J179" s="175"/>
      <c r="K179" s="172"/>
    </row>
    <row r="180" spans="1:11" ht="15">
      <c r="A180" s="172"/>
      <c r="B180" s="172"/>
      <c r="C180" s="173"/>
      <c r="D180" s="173"/>
      <c r="E180" s="174"/>
      <c r="F180" s="173"/>
      <c r="G180" s="174"/>
      <c r="H180" s="173"/>
      <c r="I180" s="173"/>
      <c r="J180" s="175"/>
      <c r="K180" s="172"/>
    </row>
    <row r="181" spans="1:11" ht="15">
      <c r="A181" s="172"/>
      <c r="B181" s="172"/>
      <c r="C181" s="173"/>
      <c r="D181" s="173"/>
      <c r="E181" s="174"/>
      <c r="F181" s="173"/>
      <c r="G181" s="174"/>
      <c r="H181" s="173"/>
      <c r="I181" s="173"/>
      <c r="J181" s="175"/>
      <c r="K181" s="172"/>
    </row>
    <row r="182" spans="1:11" ht="15">
      <c r="A182" s="172"/>
      <c r="B182" s="172"/>
      <c r="C182" s="173"/>
      <c r="D182" s="173"/>
      <c r="E182" s="174"/>
      <c r="F182" s="173"/>
      <c r="G182" s="174"/>
      <c r="H182" s="173"/>
      <c r="I182" s="173"/>
      <c r="J182" s="175"/>
      <c r="K182" s="172"/>
    </row>
    <row r="183" spans="1:11" ht="15">
      <c r="A183" s="172"/>
      <c r="B183" s="172"/>
      <c r="C183" s="173"/>
      <c r="D183" s="173"/>
      <c r="E183" s="174"/>
      <c r="F183" s="173"/>
      <c r="G183" s="174"/>
      <c r="H183" s="173"/>
      <c r="I183" s="173"/>
      <c r="J183" s="175"/>
      <c r="K183" s="172"/>
    </row>
    <row r="184" spans="1:11" ht="15">
      <c r="A184" s="172"/>
      <c r="B184" s="172"/>
      <c r="C184" s="173"/>
      <c r="D184" s="173"/>
      <c r="E184" s="174"/>
      <c r="F184" s="173"/>
      <c r="G184" s="174"/>
      <c r="H184" s="173"/>
      <c r="I184" s="173"/>
      <c r="J184" s="175"/>
      <c r="K184" s="172"/>
    </row>
    <row r="185" spans="1:11" ht="15">
      <c r="A185" s="172"/>
      <c r="B185" s="172"/>
      <c r="C185" s="173"/>
      <c r="D185" s="173"/>
      <c r="E185" s="174"/>
      <c r="F185" s="173"/>
      <c r="G185" s="174"/>
      <c r="H185" s="173"/>
      <c r="I185" s="173"/>
      <c r="J185" s="175"/>
      <c r="K185" s="172"/>
    </row>
    <row r="186" spans="1:11" ht="15">
      <c r="A186" s="172"/>
      <c r="B186" s="172"/>
      <c r="C186" s="173"/>
      <c r="D186" s="173"/>
      <c r="E186" s="174"/>
      <c r="F186" s="173"/>
      <c r="G186" s="174"/>
      <c r="H186" s="173"/>
      <c r="I186" s="173"/>
      <c r="J186" s="175"/>
      <c r="K186" s="172"/>
    </row>
    <row r="187" spans="1:11" ht="15">
      <c r="A187" s="172"/>
      <c r="B187" s="172"/>
      <c r="C187" s="173"/>
      <c r="D187" s="173"/>
      <c r="E187" s="174"/>
      <c r="F187" s="173"/>
      <c r="G187" s="174"/>
      <c r="H187" s="173"/>
      <c r="I187" s="173"/>
      <c r="J187" s="175"/>
      <c r="K187" s="172"/>
    </row>
    <row r="188" spans="1:11" ht="15">
      <c r="A188" s="172"/>
      <c r="B188" s="172"/>
      <c r="C188" s="173"/>
      <c r="D188" s="173"/>
      <c r="E188" s="174"/>
      <c r="F188" s="173"/>
      <c r="G188" s="174"/>
      <c r="H188" s="173"/>
      <c r="I188" s="173"/>
      <c r="J188" s="175"/>
      <c r="K188" s="172"/>
    </row>
    <row r="189" spans="1:11" ht="15">
      <c r="A189" s="172"/>
      <c r="B189" s="172"/>
      <c r="C189" s="173"/>
      <c r="D189" s="173"/>
      <c r="E189" s="174"/>
      <c r="F189" s="173"/>
      <c r="G189" s="174"/>
      <c r="H189" s="173"/>
      <c r="I189" s="173"/>
      <c r="J189" s="175"/>
      <c r="K189" s="172"/>
    </row>
    <row r="190" spans="1:11" ht="15">
      <c r="A190" s="172"/>
      <c r="B190" s="172"/>
      <c r="C190" s="173"/>
      <c r="D190" s="173"/>
      <c r="E190" s="174"/>
      <c r="F190" s="173"/>
      <c r="G190" s="174"/>
      <c r="H190" s="173"/>
      <c r="I190" s="173"/>
      <c r="J190" s="175"/>
      <c r="K190" s="172"/>
    </row>
    <row r="191" spans="1:11" ht="15">
      <c r="A191" s="172"/>
      <c r="B191" s="172"/>
      <c r="C191" s="173"/>
      <c r="D191" s="173"/>
      <c r="E191" s="174"/>
      <c r="F191" s="173"/>
      <c r="G191" s="174"/>
      <c r="H191" s="173"/>
      <c r="I191" s="173"/>
      <c r="J191" s="175"/>
      <c r="K191" s="172"/>
    </row>
    <row r="192" spans="1:11" ht="15">
      <c r="A192" s="172"/>
      <c r="B192" s="172"/>
      <c r="C192" s="173"/>
      <c r="D192" s="173"/>
      <c r="E192" s="174"/>
      <c r="F192" s="173"/>
      <c r="G192" s="174"/>
      <c r="H192" s="173"/>
      <c r="I192" s="173"/>
      <c r="J192" s="175"/>
      <c r="K192" s="172"/>
    </row>
    <row r="193" spans="1:11" ht="15">
      <c r="A193" s="172"/>
      <c r="B193" s="172"/>
      <c r="C193" s="173"/>
      <c r="D193" s="173"/>
      <c r="E193" s="174"/>
      <c r="F193" s="173"/>
      <c r="G193" s="174"/>
      <c r="H193" s="173"/>
      <c r="I193" s="173"/>
      <c r="J193" s="175"/>
      <c r="K193" s="172"/>
    </row>
    <row r="194" spans="1:11" ht="15">
      <c r="A194" s="172"/>
      <c r="B194" s="172"/>
      <c r="C194" s="173"/>
      <c r="D194" s="173"/>
      <c r="E194" s="174"/>
      <c r="F194" s="173"/>
      <c r="G194" s="174"/>
      <c r="H194" s="173"/>
      <c r="I194" s="173"/>
      <c r="J194" s="175"/>
      <c r="K194" s="172"/>
    </row>
    <row r="195" spans="1:11" ht="15">
      <c r="A195" s="172"/>
      <c r="B195" s="172"/>
      <c r="C195" s="173"/>
      <c r="D195" s="173"/>
      <c r="E195" s="174"/>
      <c r="F195" s="173"/>
      <c r="G195" s="174"/>
      <c r="H195" s="173"/>
      <c r="I195" s="173"/>
      <c r="J195" s="175"/>
      <c r="K195" s="172"/>
    </row>
    <row r="196" spans="1:11" ht="15">
      <c r="A196" s="172"/>
      <c r="B196" s="172"/>
      <c r="C196" s="173"/>
      <c r="D196" s="173"/>
      <c r="E196" s="174"/>
      <c r="F196" s="173"/>
      <c r="G196" s="174"/>
      <c r="H196" s="173"/>
      <c r="I196" s="173"/>
      <c r="J196" s="175"/>
      <c r="K196" s="172"/>
    </row>
    <row r="197" spans="1:11" ht="15">
      <c r="A197" s="172"/>
      <c r="B197" s="172"/>
      <c r="C197" s="173"/>
      <c r="D197" s="173"/>
      <c r="E197" s="174"/>
      <c r="F197" s="173"/>
      <c r="G197" s="174"/>
      <c r="H197" s="173"/>
      <c r="I197" s="173"/>
      <c r="J197" s="175"/>
      <c r="K197" s="172"/>
    </row>
    <row r="198" spans="1:11" ht="15">
      <c r="A198" s="172"/>
      <c r="B198" s="172"/>
      <c r="C198" s="173"/>
      <c r="D198" s="173"/>
      <c r="E198" s="174"/>
      <c r="F198" s="173"/>
      <c r="G198" s="174"/>
      <c r="H198" s="173"/>
      <c r="I198" s="173"/>
      <c r="J198" s="175"/>
      <c r="K198" s="172"/>
    </row>
    <row r="199" spans="1:11" ht="15">
      <c r="A199" s="172"/>
      <c r="B199" s="172"/>
      <c r="C199" s="173"/>
      <c r="D199" s="173"/>
      <c r="E199" s="174"/>
      <c r="F199" s="173"/>
      <c r="G199" s="174"/>
      <c r="H199" s="173"/>
      <c r="I199" s="173"/>
      <c r="J199" s="175"/>
      <c r="K199" s="172"/>
    </row>
    <row r="200" spans="1:11" ht="15">
      <c r="A200" s="172"/>
      <c r="B200" s="172"/>
      <c r="C200" s="173"/>
      <c r="D200" s="173"/>
      <c r="E200" s="174"/>
      <c r="F200" s="173"/>
      <c r="G200" s="174"/>
      <c r="H200" s="173"/>
      <c r="I200" s="173"/>
      <c r="J200" s="175"/>
      <c r="K200" s="172"/>
    </row>
    <row r="201" spans="1:11" ht="15">
      <c r="A201" s="172"/>
      <c r="B201" s="172"/>
      <c r="C201" s="173"/>
      <c r="D201" s="173"/>
      <c r="E201" s="174"/>
      <c r="F201" s="173"/>
      <c r="G201" s="174"/>
      <c r="H201" s="173"/>
      <c r="I201" s="173"/>
      <c r="J201" s="175"/>
      <c r="K201" s="172"/>
    </row>
    <row r="202" spans="1:11" ht="15">
      <c r="A202" s="172"/>
      <c r="B202" s="172"/>
      <c r="C202" s="173"/>
      <c r="D202" s="173"/>
      <c r="E202" s="174"/>
      <c r="F202" s="173"/>
      <c r="G202" s="174"/>
      <c r="H202" s="173"/>
      <c r="I202" s="173"/>
      <c r="J202" s="175"/>
      <c r="K202" s="172"/>
    </row>
    <row r="203" spans="1:11" ht="15">
      <c r="A203" s="172"/>
      <c r="B203" s="172"/>
      <c r="C203" s="173"/>
      <c r="D203" s="173"/>
      <c r="E203" s="174"/>
      <c r="F203" s="173"/>
      <c r="G203" s="174"/>
      <c r="H203" s="173"/>
      <c r="I203" s="173"/>
      <c r="J203" s="175"/>
      <c r="K203" s="172"/>
    </row>
    <row r="204" spans="1:11" ht="15">
      <c r="A204" s="172"/>
      <c r="B204" s="172"/>
      <c r="C204" s="173"/>
      <c r="D204" s="173"/>
      <c r="E204" s="174"/>
      <c r="F204" s="173"/>
      <c r="G204" s="174"/>
      <c r="H204" s="173"/>
      <c r="I204" s="173"/>
      <c r="J204" s="175"/>
      <c r="K204" s="172"/>
    </row>
    <row r="205" spans="1:11" ht="15">
      <c r="A205" s="172"/>
      <c r="B205" s="172"/>
      <c r="C205" s="173"/>
      <c r="D205" s="173"/>
      <c r="E205" s="174"/>
      <c r="F205" s="173"/>
      <c r="G205" s="174"/>
      <c r="H205" s="173"/>
      <c r="I205" s="173"/>
      <c r="J205" s="175"/>
      <c r="K205" s="172"/>
    </row>
    <row r="206" spans="1:11" ht="15">
      <c r="A206" s="172"/>
      <c r="B206" s="172"/>
      <c r="C206" s="173"/>
      <c r="D206" s="173"/>
      <c r="E206" s="174"/>
      <c r="F206" s="173"/>
      <c r="G206" s="174"/>
      <c r="H206" s="173"/>
      <c r="I206" s="173"/>
      <c r="J206" s="175"/>
      <c r="K206" s="172"/>
    </row>
    <row r="207" spans="1:11" ht="15">
      <c r="A207" s="172"/>
      <c r="B207" s="172"/>
      <c r="C207" s="173"/>
      <c r="D207" s="173"/>
      <c r="E207" s="174"/>
      <c r="F207" s="173"/>
      <c r="G207" s="174"/>
      <c r="H207" s="173"/>
      <c r="I207" s="173"/>
      <c r="J207" s="175"/>
      <c r="K207" s="172"/>
    </row>
    <row r="208" spans="1:11" ht="15">
      <c r="A208" s="172"/>
      <c r="B208" s="172"/>
      <c r="C208" s="173"/>
      <c r="D208" s="173"/>
      <c r="E208" s="174"/>
      <c r="F208" s="173"/>
      <c r="G208" s="174"/>
      <c r="H208" s="173"/>
      <c r="I208" s="173"/>
      <c r="J208" s="175"/>
      <c r="K208" s="172"/>
    </row>
    <row r="209" spans="1:11" ht="15">
      <c r="A209" s="172"/>
      <c r="B209" s="172"/>
      <c r="C209" s="173"/>
      <c r="D209" s="173"/>
      <c r="E209" s="174"/>
      <c r="F209" s="173"/>
      <c r="G209" s="174"/>
      <c r="H209" s="173"/>
      <c r="I209" s="173"/>
      <c r="J209" s="175"/>
      <c r="K209" s="172"/>
    </row>
    <row r="210" spans="1:11" ht="15">
      <c r="A210" s="172"/>
      <c r="B210" s="172"/>
      <c r="C210" s="173"/>
      <c r="D210" s="173"/>
      <c r="E210" s="174"/>
      <c r="F210" s="173"/>
      <c r="G210" s="174"/>
      <c r="H210" s="173"/>
      <c r="I210" s="173"/>
      <c r="J210" s="175"/>
      <c r="K210" s="172"/>
    </row>
    <row r="211" spans="1:11" ht="15">
      <c r="A211" s="172"/>
      <c r="B211" s="172"/>
      <c r="C211" s="173"/>
      <c r="D211" s="173"/>
      <c r="E211" s="174"/>
      <c r="F211" s="173"/>
      <c r="G211" s="174"/>
      <c r="H211" s="173"/>
      <c r="I211" s="173"/>
      <c r="J211" s="175"/>
      <c r="K211" s="172"/>
    </row>
    <row r="212" spans="1:11" ht="15">
      <c r="A212" s="172"/>
      <c r="B212" s="172"/>
      <c r="C212" s="173"/>
      <c r="D212" s="173"/>
      <c r="E212" s="174"/>
      <c r="F212" s="173"/>
      <c r="G212" s="174"/>
      <c r="H212" s="173"/>
      <c r="I212" s="173"/>
      <c r="J212" s="175"/>
      <c r="K212" s="172"/>
    </row>
    <row r="213" spans="1:11" ht="15">
      <c r="A213" s="172"/>
      <c r="B213" s="172"/>
      <c r="C213" s="173"/>
      <c r="D213" s="173"/>
      <c r="E213" s="174"/>
      <c r="F213" s="173"/>
      <c r="G213" s="174"/>
      <c r="H213" s="173"/>
      <c r="I213" s="173"/>
      <c r="J213" s="175"/>
      <c r="K213" s="172"/>
    </row>
    <row r="214" spans="1:11" ht="15">
      <c r="A214" s="172"/>
      <c r="B214" s="172"/>
      <c r="C214" s="173"/>
      <c r="D214" s="173"/>
      <c r="E214" s="174"/>
      <c r="F214" s="173"/>
      <c r="G214" s="174"/>
      <c r="H214" s="173"/>
      <c r="I214" s="173"/>
      <c r="J214" s="175"/>
      <c r="K214" s="172"/>
    </row>
    <row r="215" spans="1:11" ht="15">
      <c r="A215" s="172"/>
      <c r="B215" s="172"/>
      <c r="C215" s="173"/>
      <c r="D215" s="173"/>
      <c r="E215" s="174"/>
      <c r="F215" s="173"/>
      <c r="G215" s="174"/>
      <c r="H215" s="173"/>
      <c r="I215" s="173"/>
      <c r="J215" s="175"/>
      <c r="K215" s="172"/>
    </row>
    <row r="216" spans="1:11" ht="15">
      <c r="A216" s="172"/>
      <c r="B216" s="172"/>
      <c r="C216" s="173"/>
      <c r="D216" s="173"/>
      <c r="E216" s="174"/>
      <c r="F216" s="173"/>
      <c r="G216" s="174"/>
      <c r="H216" s="173"/>
      <c r="I216" s="173"/>
      <c r="J216" s="175"/>
      <c r="K216" s="172"/>
    </row>
    <row r="217" spans="1:11" ht="15">
      <c r="A217" s="172"/>
      <c r="B217" s="172"/>
      <c r="C217" s="173"/>
      <c r="D217" s="173"/>
      <c r="E217" s="174"/>
      <c r="F217" s="173"/>
      <c r="G217" s="174"/>
      <c r="H217" s="173"/>
      <c r="I217" s="173"/>
      <c r="J217" s="175"/>
      <c r="K217" s="172"/>
    </row>
    <row r="218" spans="1:11" ht="15">
      <c r="A218" s="172"/>
      <c r="B218" s="172"/>
      <c r="C218" s="173"/>
      <c r="D218" s="173"/>
      <c r="E218" s="174"/>
      <c r="F218" s="173"/>
      <c r="G218" s="174"/>
      <c r="H218" s="173"/>
      <c r="I218" s="173"/>
      <c r="J218" s="175"/>
      <c r="K218" s="172"/>
    </row>
    <row r="219" spans="1:11" ht="15">
      <c r="A219" s="172"/>
      <c r="B219" s="172"/>
      <c r="C219" s="173"/>
      <c r="D219" s="173"/>
      <c r="E219" s="174"/>
      <c r="F219" s="173"/>
      <c r="G219" s="174"/>
      <c r="H219" s="173"/>
      <c r="I219" s="173"/>
      <c r="J219" s="175"/>
      <c r="K219" s="172"/>
    </row>
    <row r="220" spans="1:11" ht="15">
      <c r="A220" s="172"/>
      <c r="B220" s="172"/>
      <c r="C220" s="173"/>
      <c r="D220" s="173"/>
      <c r="E220" s="174"/>
      <c r="F220" s="173"/>
      <c r="G220" s="174"/>
      <c r="H220" s="173"/>
      <c r="I220" s="173"/>
      <c r="J220" s="175"/>
      <c r="K220" s="172"/>
    </row>
    <row r="221" spans="1:11" ht="15">
      <c r="A221" s="172"/>
      <c r="B221" s="172"/>
      <c r="C221" s="173"/>
      <c r="D221" s="173"/>
      <c r="E221" s="174"/>
      <c r="F221" s="173"/>
      <c r="G221" s="174"/>
      <c r="H221" s="173"/>
      <c r="I221" s="173"/>
      <c r="J221" s="175"/>
      <c r="K221" s="172"/>
    </row>
    <row r="222" spans="1:11" ht="15">
      <c r="A222" s="172"/>
      <c r="B222" s="172"/>
      <c r="C222" s="173"/>
      <c r="D222" s="173"/>
      <c r="E222" s="174"/>
      <c r="F222" s="173"/>
      <c r="G222" s="174"/>
      <c r="H222" s="173"/>
      <c r="I222" s="173"/>
      <c r="J222" s="175"/>
      <c r="K222" s="172"/>
    </row>
    <row r="223" spans="1:11" ht="15">
      <c r="A223" s="172"/>
      <c r="B223" s="172"/>
      <c r="C223" s="173"/>
      <c r="D223" s="173"/>
      <c r="E223" s="174"/>
      <c r="F223" s="173"/>
      <c r="G223" s="174"/>
      <c r="H223" s="173"/>
      <c r="I223" s="173"/>
      <c r="J223" s="175"/>
      <c r="K223" s="172"/>
    </row>
    <row r="224" spans="1:11" ht="15">
      <c r="A224" s="172"/>
      <c r="B224" s="172"/>
      <c r="C224" s="173"/>
      <c r="D224" s="173"/>
      <c r="E224" s="174"/>
      <c r="F224" s="173"/>
      <c r="G224" s="174"/>
      <c r="H224" s="173"/>
      <c r="I224" s="173"/>
      <c r="J224" s="175"/>
      <c r="K224" s="172"/>
    </row>
    <row r="225" spans="1:11" ht="15">
      <c r="A225" s="172"/>
      <c r="B225" s="172"/>
      <c r="C225" s="173"/>
      <c r="D225" s="173"/>
      <c r="E225" s="174"/>
      <c r="F225" s="173"/>
      <c r="G225" s="174"/>
      <c r="H225" s="173"/>
      <c r="I225" s="173"/>
      <c r="J225" s="175"/>
      <c r="K225" s="172"/>
    </row>
    <row r="226" spans="1:11" ht="15">
      <c r="A226" s="172"/>
      <c r="B226" s="172"/>
      <c r="C226" s="173"/>
      <c r="D226" s="173"/>
      <c r="E226" s="174"/>
      <c r="F226" s="173"/>
      <c r="G226" s="174"/>
      <c r="H226" s="173"/>
      <c r="I226" s="173"/>
      <c r="J226" s="175"/>
      <c r="K226" s="172"/>
    </row>
    <row r="227" spans="1:11" ht="15">
      <c r="A227" s="172"/>
      <c r="B227" s="172"/>
      <c r="C227" s="173"/>
      <c r="D227" s="173"/>
      <c r="E227" s="174"/>
      <c r="F227" s="173"/>
      <c r="G227" s="174"/>
      <c r="H227" s="173"/>
      <c r="I227" s="173"/>
      <c r="J227" s="175"/>
      <c r="K227" s="172"/>
    </row>
    <row r="228" spans="1:11" ht="15">
      <c r="A228" s="172"/>
      <c r="B228" s="172"/>
      <c r="C228" s="173"/>
      <c r="D228" s="173"/>
      <c r="E228" s="174"/>
      <c r="F228" s="173"/>
      <c r="G228" s="174"/>
      <c r="H228" s="173"/>
      <c r="I228" s="173"/>
      <c r="J228" s="175"/>
      <c r="K228" s="172"/>
    </row>
    <row r="229" spans="1:11" ht="15">
      <c r="A229" s="172"/>
      <c r="B229" s="172"/>
      <c r="C229" s="173"/>
      <c r="D229" s="173"/>
      <c r="E229" s="174"/>
      <c r="F229" s="173"/>
      <c r="G229" s="174"/>
      <c r="H229" s="173"/>
      <c r="I229" s="173"/>
      <c r="J229" s="175"/>
      <c r="K229" s="172"/>
    </row>
    <row r="230" spans="1:11" ht="15">
      <c r="A230" s="172"/>
      <c r="B230" s="172"/>
      <c r="C230" s="173"/>
      <c r="D230" s="173"/>
      <c r="E230" s="174"/>
      <c r="F230" s="173"/>
      <c r="G230" s="174"/>
      <c r="H230" s="173"/>
      <c r="I230" s="173"/>
      <c r="J230" s="175"/>
      <c r="K230" s="172"/>
    </row>
    <row r="231" spans="1:11" ht="15">
      <c r="A231" s="172"/>
      <c r="B231" s="172"/>
      <c r="C231" s="173"/>
      <c r="D231" s="173"/>
      <c r="E231" s="174"/>
      <c r="F231" s="173"/>
      <c r="G231" s="174"/>
      <c r="H231" s="173"/>
      <c r="I231" s="173"/>
      <c r="J231" s="175"/>
      <c r="K231" s="172"/>
    </row>
    <row r="232" spans="1:11" ht="15">
      <c r="A232" s="172"/>
      <c r="B232" s="172"/>
      <c r="C232" s="173"/>
      <c r="D232" s="173"/>
      <c r="E232" s="174"/>
      <c r="F232" s="173"/>
      <c r="G232" s="174"/>
      <c r="H232" s="173"/>
      <c r="I232" s="173"/>
      <c r="J232" s="175"/>
      <c r="K232" s="172"/>
    </row>
    <row r="233" spans="1:11" ht="15">
      <c r="A233" s="172"/>
      <c r="B233" s="172"/>
      <c r="C233" s="173"/>
      <c r="D233" s="173"/>
      <c r="E233" s="174"/>
      <c r="F233" s="173"/>
      <c r="G233" s="174"/>
      <c r="H233" s="173"/>
      <c r="I233" s="173"/>
      <c r="J233" s="175"/>
      <c r="K233" s="172"/>
    </row>
    <row r="234" spans="1:11" ht="15">
      <c r="A234" s="172"/>
      <c r="B234" s="172"/>
      <c r="C234" s="173"/>
      <c r="D234" s="173"/>
      <c r="E234" s="174"/>
      <c r="F234" s="173"/>
      <c r="G234" s="174"/>
      <c r="H234" s="173"/>
      <c r="I234" s="173"/>
      <c r="J234" s="175"/>
      <c r="K234" s="172"/>
    </row>
    <row r="235" spans="1:11" ht="15">
      <c r="A235" s="172"/>
      <c r="B235" s="172"/>
      <c r="C235" s="173"/>
      <c r="D235" s="173"/>
      <c r="E235" s="174"/>
      <c r="F235" s="173"/>
      <c r="G235" s="174"/>
      <c r="H235" s="173"/>
      <c r="I235" s="173"/>
      <c r="J235" s="175"/>
      <c r="K235" s="172"/>
    </row>
    <row r="236" spans="1:11" ht="15">
      <c r="A236" s="172"/>
      <c r="B236" s="172"/>
      <c r="C236" s="173"/>
      <c r="D236" s="173"/>
      <c r="E236" s="174"/>
      <c r="F236" s="173"/>
      <c r="G236" s="174"/>
      <c r="H236" s="173"/>
      <c r="I236" s="173"/>
      <c r="J236" s="175"/>
      <c r="K236" s="172"/>
    </row>
    <row r="237" spans="1:11" ht="15">
      <c r="A237" s="172"/>
      <c r="B237" s="172"/>
      <c r="C237" s="173"/>
      <c r="D237" s="173"/>
      <c r="E237" s="174"/>
      <c r="F237" s="173"/>
      <c r="G237" s="174"/>
      <c r="H237" s="173"/>
      <c r="I237" s="173"/>
      <c r="J237" s="175"/>
      <c r="K237" s="172"/>
    </row>
    <row r="238" spans="1:11" ht="15">
      <c r="A238" s="172"/>
      <c r="B238" s="172"/>
      <c r="C238" s="173"/>
      <c r="D238" s="173"/>
      <c r="E238" s="174"/>
      <c r="F238" s="173"/>
      <c r="G238" s="174"/>
      <c r="H238" s="173"/>
      <c r="I238" s="173"/>
      <c r="J238" s="175"/>
      <c r="K238" s="172"/>
    </row>
    <row r="239" spans="1:11" ht="15">
      <c r="A239" s="172"/>
      <c r="B239" s="172"/>
      <c r="C239" s="173"/>
      <c r="D239" s="173"/>
      <c r="E239" s="174"/>
      <c r="F239" s="173"/>
      <c r="G239" s="174"/>
      <c r="H239" s="173"/>
      <c r="I239" s="173"/>
      <c r="J239" s="175"/>
      <c r="K239" s="172"/>
    </row>
    <row r="240" spans="1:11" ht="15">
      <c r="A240" s="172"/>
      <c r="B240" s="172"/>
      <c r="C240" s="173"/>
      <c r="D240" s="173"/>
      <c r="E240" s="174"/>
      <c r="F240" s="173"/>
      <c r="G240" s="174"/>
      <c r="H240" s="173"/>
      <c r="I240" s="173"/>
      <c r="J240" s="175"/>
      <c r="K240" s="172"/>
    </row>
    <row r="241" spans="1:11" ht="15">
      <c r="A241" s="172"/>
      <c r="B241" s="172"/>
      <c r="C241" s="173"/>
      <c r="D241" s="173"/>
      <c r="E241" s="174"/>
      <c r="F241" s="173"/>
      <c r="G241" s="174"/>
      <c r="H241" s="173"/>
      <c r="I241" s="173"/>
      <c r="J241" s="175"/>
      <c r="K241" s="172"/>
    </row>
    <row r="242" spans="1:11" ht="15">
      <c r="A242" s="172"/>
      <c r="B242" s="172"/>
      <c r="C242" s="173"/>
      <c r="D242" s="173"/>
      <c r="E242" s="174"/>
      <c r="F242" s="173"/>
      <c r="G242" s="174"/>
      <c r="H242" s="173"/>
      <c r="I242" s="173"/>
      <c r="J242" s="175"/>
      <c r="K242" s="172"/>
    </row>
    <row r="243" spans="1:11" ht="15">
      <c r="A243" s="172"/>
      <c r="B243" s="172"/>
      <c r="C243" s="173"/>
      <c r="D243" s="173"/>
      <c r="E243" s="174"/>
      <c r="F243" s="173"/>
      <c r="G243" s="174"/>
      <c r="H243" s="173"/>
      <c r="I243" s="173"/>
      <c r="J243" s="175"/>
      <c r="K243" s="172"/>
    </row>
    <row r="244" spans="1:11" ht="15">
      <c r="A244" s="172"/>
      <c r="B244" s="172"/>
      <c r="C244" s="173"/>
      <c r="D244" s="173"/>
      <c r="E244" s="174"/>
      <c r="F244" s="173"/>
      <c r="G244" s="174"/>
      <c r="H244" s="173"/>
      <c r="I244" s="173"/>
      <c r="J244" s="175"/>
      <c r="K244" s="172"/>
    </row>
    <row r="245" spans="1:11" ht="15">
      <c r="A245" s="172"/>
      <c r="B245" s="172"/>
      <c r="C245" s="173"/>
      <c r="D245" s="173"/>
      <c r="E245" s="174"/>
      <c r="F245" s="173"/>
      <c r="G245" s="174"/>
      <c r="H245" s="173"/>
      <c r="I245" s="173"/>
      <c r="J245" s="175"/>
      <c r="K245" s="172"/>
    </row>
    <row r="246" spans="1:11" ht="15">
      <c r="A246" s="172"/>
      <c r="B246" s="172"/>
      <c r="C246" s="173"/>
      <c r="D246" s="173"/>
      <c r="E246" s="174"/>
      <c r="F246" s="173"/>
      <c r="G246" s="174"/>
      <c r="H246" s="173"/>
      <c r="I246" s="173"/>
      <c r="J246" s="175"/>
      <c r="K246" s="172"/>
    </row>
    <row r="247" spans="1:11" ht="15">
      <c r="A247" s="172"/>
      <c r="B247" s="172"/>
      <c r="C247" s="173"/>
      <c r="D247" s="173"/>
      <c r="E247" s="174"/>
      <c r="F247" s="173"/>
      <c r="G247" s="174"/>
      <c r="H247" s="173"/>
      <c r="I247" s="173"/>
      <c r="J247" s="175"/>
      <c r="K247" s="172"/>
    </row>
    <row r="248" spans="1:11" ht="15">
      <c r="A248" s="172"/>
      <c r="B248" s="172"/>
      <c r="C248" s="173"/>
      <c r="D248" s="173"/>
      <c r="E248" s="174"/>
      <c r="F248" s="173"/>
      <c r="G248" s="174"/>
      <c r="H248" s="173"/>
      <c r="I248" s="173"/>
      <c r="J248" s="175"/>
      <c r="K248" s="172"/>
    </row>
    <row r="249" spans="1:11" ht="15">
      <c r="A249" s="172"/>
      <c r="B249" s="172"/>
      <c r="C249" s="173"/>
      <c r="D249" s="173"/>
      <c r="E249" s="174"/>
      <c r="F249" s="173"/>
      <c r="G249" s="174"/>
      <c r="H249" s="173"/>
      <c r="I249" s="173"/>
      <c r="J249" s="175"/>
      <c r="K249" s="172"/>
    </row>
    <row r="250" spans="1:11" ht="15">
      <c r="A250" s="172"/>
      <c r="B250" s="172"/>
      <c r="C250" s="173"/>
      <c r="D250" s="173"/>
      <c r="E250" s="174"/>
      <c r="F250" s="173"/>
      <c r="G250" s="174"/>
      <c r="H250" s="173"/>
      <c r="I250" s="173"/>
      <c r="J250" s="175"/>
      <c r="K250" s="172"/>
    </row>
    <row r="251" spans="1:11" ht="15">
      <c r="A251" s="172"/>
      <c r="B251" s="172"/>
      <c r="C251" s="173"/>
      <c r="D251" s="173"/>
      <c r="E251" s="174"/>
      <c r="F251" s="173"/>
      <c r="G251" s="174"/>
      <c r="H251" s="173"/>
      <c r="I251" s="173"/>
      <c r="J251" s="175"/>
      <c r="K251" s="172"/>
    </row>
    <row r="252" spans="1:11" ht="15">
      <c r="A252" s="172"/>
      <c r="B252" s="172"/>
      <c r="C252" s="173"/>
      <c r="D252" s="173"/>
      <c r="E252" s="174"/>
      <c r="F252" s="173"/>
      <c r="G252" s="174"/>
      <c r="H252" s="173"/>
      <c r="I252" s="173"/>
      <c r="J252" s="175"/>
      <c r="K252" s="172"/>
    </row>
    <row r="253" spans="1:11" ht="15">
      <c r="A253" s="172"/>
      <c r="B253" s="172"/>
      <c r="C253" s="173"/>
      <c r="D253" s="173"/>
      <c r="E253" s="174"/>
      <c r="F253" s="173"/>
      <c r="G253" s="174"/>
      <c r="H253" s="173"/>
      <c r="I253" s="173"/>
      <c r="J253" s="175"/>
      <c r="K253" s="172"/>
    </row>
    <row r="254" spans="1:11" ht="15">
      <c r="A254" s="172"/>
      <c r="B254" s="172"/>
      <c r="C254" s="173"/>
      <c r="D254" s="173"/>
      <c r="E254" s="174"/>
      <c r="F254" s="173"/>
      <c r="G254" s="174"/>
      <c r="H254" s="173"/>
      <c r="I254" s="173"/>
      <c r="J254" s="175"/>
      <c r="K254" s="172"/>
    </row>
    <row r="255" spans="1:11" ht="15">
      <c r="A255" s="172"/>
      <c r="B255" s="172"/>
      <c r="C255" s="173"/>
      <c r="D255" s="173"/>
      <c r="E255" s="174"/>
      <c r="F255" s="173"/>
      <c r="G255" s="174"/>
      <c r="H255" s="173"/>
      <c r="I255" s="173"/>
      <c r="J255" s="175"/>
      <c r="K255" s="172"/>
    </row>
    <row r="256" spans="1:11" ht="15">
      <c r="A256" s="172"/>
      <c r="B256" s="172"/>
      <c r="C256" s="173"/>
      <c r="D256" s="173"/>
      <c r="E256" s="174"/>
      <c r="F256" s="173"/>
      <c r="G256" s="174"/>
      <c r="H256" s="173"/>
      <c r="I256" s="173"/>
      <c r="J256" s="175"/>
      <c r="K256" s="172"/>
    </row>
    <row r="257" spans="1:11" ht="15">
      <c r="A257" s="172"/>
      <c r="B257" s="172"/>
      <c r="C257" s="173"/>
      <c r="D257" s="173"/>
      <c r="E257" s="174"/>
      <c r="F257" s="173"/>
      <c r="G257" s="174"/>
      <c r="H257" s="173"/>
      <c r="I257" s="173"/>
      <c r="J257" s="175"/>
      <c r="K257" s="172"/>
    </row>
    <row r="258" spans="1:11" ht="15">
      <c r="A258" s="172"/>
      <c r="B258" s="172"/>
      <c r="C258" s="173"/>
      <c r="D258" s="173"/>
      <c r="E258" s="174"/>
      <c r="F258" s="173"/>
      <c r="G258" s="174"/>
      <c r="H258" s="173"/>
      <c r="I258" s="173"/>
      <c r="J258" s="175"/>
      <c r="K258" s="172"/>
    </row>
    <row r="259" spans="1:11" ht="15">
      <c r="A259" s="172"/>
      <c r="B259" s="172"/>
      <c r="C259" s="173"/>
      <c r="D259" s="173"/>
      <c r="E259" s="174"/>
      <c r="F259" s="173"/>
      <c r="G259" s="174"/>
      <c r="H259" s="173"/>
      <c r="I259" s="173"/>
      <c r="J259" s="175"/>
      <c r="K259" s="172"/>
    </row>
    <row r="260" spans="1:11" ht="15">
      <c r="A260" s="172"/>
      <c r="B260" s="172"/>
      <c r="C260" s="173"/>
      <c r="D260" s="173"/>
      <c r="E260" s="174"/>
      <c r="F260" s="173"/>
      <c r="G260" s="174"/>
      <c r="H260" s="173"/>
      <c r="I260" s="173"/>
      <c r="J260" s="175"/>
      <c r="K260" s="172"/>
    </row>
    <row r="261" spans="1:11" ht="15">
      <c r="A261" s="172"/>
      <c r="B261" s="172"/>
      <c r="C261" s="173"/>
      <c r="D261" s="173"/>
      <c r="E261" s="174"/>
      <c r="F261" s="173"/>
      <c r="G261" s="174"/>
      <c r="H261" s="173"/>
      <c r="I261" s="173"/>
      <c r="J261" s="175"/>
      <c r="K261" s="172"/>
    </row>
    <row r="262" spans="1:11" ht="15">
      <c r="A262" s="172"/>
      <c r="B262" s="172"/>
      <c r="C262" s="173"/>
      <c r="D262" s="173"/>
      <c r="E262" s="174"/>
      <c r="F262" s="173"/>
      <c r="G262" s="174"/>
      <c r="H262" s="173"/>
      <c r="I262" s="173"/>
      <c r="J262" s="175"/>
      <c r="K262" s="172"/>
    </row>
    <row r="263" spans="1:11" ht="15">
      <c r="A263" s="172"/>
      <c r="B263" s="172"/>
      <c r="C263" s="173"/>
      <c r="D263" s="173"/>
      <c r="E263" s="174"/>
      <c r="F263" s="173"/>
      <c r="G263" s="174"/>
      <c r="H263" s="173"/>
      <c r="I263" s="173"/>
      <c r="J263" s="175"/>
      <c r="K263" s="172"/>
    </row>
    <row r="264" spans="1:11" ht="15">
      <c r="A264" s="172"/>
      <c r="B264" s="172"/>
      <c r="C264" s="173"/>
      <c r="D264" s="173"/>
      <c r="E264" s="174"/>
      <c r="F264" s="173"/>
      <c r="G264" s="174"/>
      <c r="H264" s="173"/>
      <c r="I264" s="173"/>
      <c r="J264" s="175"/>
      <c r="K264" s="172"/>
    </row>
    <row r="265" spans="1:11" ht="15">
      <c r="A265" s="172"/>
      <c r="B265" s="172"/>
      <c r="C265" s="173"/>
      <c r="D265" s="173"/>
      <c r="E265" s="174"/>
      <c r="F265" s="173"/>
      <c r="G265" s="174"/>
      <c r="H265" s="173"/>
      <c r="I265" s="173"/>
      <c r="J265" s="175"/>
      <c r="K265" s="172"/>
    </row>
    <row r="266" spans="1:11" ht="15">
      <c r="A266" s="172"/>
      <c r="B266" s="172"/>
      <c r="C266" s="173"/>
      <c r="D266" s="173"/>
      <c r="E266" s="174"/>
      <c r="F266" s="173"/>
      <c r="G266" s="174"/>
      <c r="H266" s="173"/>
      <c r="I266" s="173"/>
      <c r="J266" s="175"/>
      <c r="K266" s="172"/>
    </row>
    <row r="267" spans="1:11" ht="15">
      <c r="A267" s="172"/>
      <c r="B267" s="172"/>
      <c r="C267" s="173"/>
      <c r="D267" s="173"/>
      <c r="E267" s="174"/>
      <c r="F267" s="173"/>
      <c r="G267" s="174"/>
      <c r="H267" s="173"/>
      <c r="I267" s="173"/>
      <c r="J267" s="175"/>
      <c r="K267" s="172"/>
    </row>
    <row r="268" spans="1:11" ht="15">
      <c r="A268" s="172"/>
      <c r="B268" s="172"/>
      <c r="C268" s="173"/>
      <c r="D268" s="173"/>
      <c r="E268" s="174"/>
      <c r="F268" s="173"/>
      <c r="G268" s="174"/>
      <c r="H268" s="173"/>
      <c r="I268" s="173"/>
      <c r="J268" s="175"/>
      <c r="K268" s="172"/>
    </row>
    <row r="269" spans="1:11" ht="15">
      <c r="A269" s="172"/>
      <c r="B269" s="172"/>
      <c r="C269" s="173"/>
      <c r="D269" s="173"/>
      <c r="E269" s="174"/>
      <c r="F269" s="173"/>
      <c r="G269" s="174"/>
      <c r="H269" s="173"/>
      <c r="I269" s="173"/>
      <c r="J269" s="175"/>
      <c r="K269" s="172"/>
    </row>
    <row r="270" spans="1:11" ht="15">
      <c r="A270" s="172"/>
      <c r="B270" s="172"/>
      <c r="C270" s="173"/>
      <c r="D270" s="173"/>
      <c r="E270" s="174"/>
      <c r="F270" s="173"/>
      <c r="G270" s="174"/>
      <c r="H270" s="173"/>
      <c r="I270" s="173"/>
      <c r="J270" s="175"/>
      <c r="K270" s="172"/>
    </row>
    <row r="271" spans="1:11" ht="15">
      <c r="A271" s="172"/>
      <c r="B271" s="172"/>
      <c r="C271" s="173"/>
      <c r="D271" s="173"/>
      <c r="E271" s="174"/>
      <c r="F271" s="173"/>
      <c r="G271" s="174"/>
      <c r="H271" s="173"/>
      <c r="I271" s="173"/>
      <c r="J271" s="175"/>
      <c r="K271" s="172"/>
    </row>
    <row r="272" spans="1:11" ht="15">
      <c r="A272" s="172"/>
      <c r="B272" s="172"/>
      <c r="C272" s="173"/>
      <c r="D272" s="173"/>
      <c r="E272" s="174"/>
      <c r="F272" s="173"/>
      <c r="G272" s="174"/>
      <c r="H272" s="173"/>
      <c r="I272" s="173"/>
      <c r="J272" s="175"/>
      <c r="K272" s="172"/>
    </row>
    <row r="273" spans="1:11" ht="15">
      <c r="A273" s="172"/>
      <c r="B273" s="172"/>
      <c r="C273" s="173"/>
      <c r="D273" s="173"/>
      <c r="E273" s="174"/>
      <c r="F273" s="173"/>
      <c r="G273" s="174"/>
      <c r="H273" s="173"/>
      <c r="I273" s="173"/>
      <c r="J273" s="175"/>
      <c r="K273" s="172"/>
    </row>
  </sheetData>
  <sheetProtection/>
  <mergeCells count="6">
    <mergeCell ref="F5:H5"/>
    <mergeCell ref="F8:J10"/>
    <mergeCell ref="F11:J13"/>
    <mergeCell ref="F23:J23"/>
    <mergeCell ref="G25:H25"/>
    <mergeCell ref="B85:G85"/>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Feuil7"/>
  <dimension ref="A1:K273"/>
  <sheetViews>
    <sheetView zoomScalePageLayoutView="0" workbookViewId="0" topLeftCell="A1">
      <selection activeCell="C2" sqref="C2"/>
    </sheetView>
  </sheetViews>
  <sheetFormatPr defaultColWidth="11.421875" defaultRowHeight="15"/>
  <cols>
    <col min="1" max="1" width="3.57421875" style="157" customWidth="1"/>
    <col min="2" max="2" width="35.8515625" style="157" bestFit="1" customWidth="1"/>
    <col min="3" max="3" width="20.140625" style="139" customWidth="1"/>
    <col min="4" max="4" width="9.00390625" style="139" hidden="1" customWidth="1"/>
    <col min="5" max="5" width="12.57421875" style="158" customWidth="1"/>
    <col min="6" max="6" width="15.7109375" style="139" customWidth="1"/>
    <col min="7" max="7" width="14.00390625" style="158" bestFit="1" customWidth="1"/>
    <col min="8" max="8" width="16.00390625" style="139" customWidth="1"/>
    <col min="9" max="9" width="2.57421875" style="139" customWidth="1"/>
    <col min="10" max="10" width="14.57421875" style="159" customWidth="1"/>
    <col min="11" max="11" width="2.28125" style="157" customWidth="1"/>
    <col min="12" max="16384" width="11.421875" style="156" customWidth="1"/>
  </cols>
  <sheetData>
    <row r="1" spans="1:11" ht="15.75" thickBot="1">
      <c r="A1" s="165"/>
      <c r="B1" s="166"/>
      <c r="C1" s="167"/>
      <c r="D1" s="167"/>
      <c r="E1" s="168"/>
      <c r="F1" s="167"/>
      <c r="G1" s="168"/>
      <c r="H1" s="167"/>
      <c r="I1" s="165"/>
      <c r="J1" s="169"/>
      <c r="K1" s="165"/>
    </row>
    <row r="2" spans="1:11" ht="15.75" thickBot="1">
      <c r="A2" s="165"/>
      <c r="B2" s="170" t="s">
        <v>187</v>
      </c>
      <c r="C2" s="171">
        <f>('DEMANDE DE PERSONNEL'!O69+'DEMANDE DE PERSONNEL'!T69)*151.67</f>
        <v>2333.336752066624</v>
      </c>
      <c r="D2" s="167"/>
      <c r="E2" s="168"/>
      <c r="F2" s="167"/>
      <c r="G2" s="168"/>
      <c r="H2" s="167"/>
      <c r="I2" s="165"/>
      <c r="J2" s="169"/>
      <c r="K2" s="165"/>
    </row>
    <row r="3" spans="1:11" ht="15.75" thickBot="1">
      <c r="A3" s="172"/>
      <c r="B3" s="166"/>
      <c r="C3" s="173"/>
      <c r="D3" s="173"/>
      <c r="E3" s="174"/>
      <c r="F3" s="166"/>
      <c r="G3" s="174"/>
      <c r="H3" s="367" t="s">
        <v>233</v>
      </c>
      <c r="I3" s="173"/>
      <c r="J3" s="175"/>
      <c r="K3" s="172"/>
    </row>
    <row r="4" spans="1:11" ht="15">
      <c r="A4" s="172"/>
      <c r="B4" s="176" t="s">
        <v>95</v>
      </c>
      <c r="C4" s="177">
        <f>C2</f>
        <v>2333.336752066624</v>
      </c>
      <c r="D4" s="178"/>
      <c r="E4" s="174"/>
      <c r="F4" s="140"/>
      <c r="G4" s="141"/>
      <c r="H4" s="140"/>
      <c r="I4" s="173"/>
      <c r="J4" s="175"/>
      <c r="K4" s="172"/>
    </row>
    <row r="5" spans="1:11" ht="15">
      <c r="A5" s="172"/>
      <c r="B5" s="179" t="s">
        <v>96</v>
      </c>
      <c r="C5" s="180">
        <v>0</v>
      </c>
      <c r="D5" s="178"/>
      <c r="E5" s="155"/>
      <c r="F5" s="341"/>
      <c r="G5" s="341"/>
      <c r="H5" s="341"/>
      <c r="I5" s="173"/>
      <c r="J5" s="175"/>
      <c r="K5" s="172"/>
    </row>
    <row r="6" spans="1:11" ht="15">
      <c r="A6" s="172"/>
      <c r="B6" s="179" t="s">
        <v>97</v>
      </c>
      <c r="C6" s="181">
        <f>D11</f>
        <v>0</v>
      </c>
      <c r="D6" s="178"/>
      <c r="E6" s="174"/>
      <c r="F6" s="140"/>
      <c r="G6" s="142"/>
      <c r="H6" s="140"/>
      <c r="I6" s="173"/>
      <c r="J6" s="175"/>
      <c r="K6" s="172"/>
    </row>
    <row r="7" spans="1:11" ht="15">
      <c r="A7" s="172"/>
      <c r="B7" s="179" t="s">
        <v>98</v>
      </c>
      <c r="C7" s="273">
        <f>Brut_de_base_hors_TEPA2+C5+brut_TEPA2</f>
        <v>2333.336752066624</v>
      </c>
      <c r="D7" s="178"/>
      <c r="E7" s="174"/>
      <c r="F7" s="270"/>
      <c r="G7" s="271"/>
      <c r="H7" s="270"/>
      <c r="I7" s="270"/>
      <c r="J7" s="272"/>
      <c r="K7" s="172"/>
    </row>
    <row r="8" spans="1:11" ht="15">
      <c r="A8" s="172"/>
      <c r="B8" s="179" t="s">
        <v>99</v>
      </c>
      <c r="C8" s="182">
        <v>151.67</v>
      </c>
      <c r="D8" s="178"/>
      <c r="E8" s="174"/>
      <c r="F8" s="353" t="s">
        <v>183</v>
      </c>
      <c r="G8" s="357"/>
      <c r="H8" s="357"/>
      <c r="I8" s="357"/>
      <c r="J8" s="357"/>
      <c r="K8" s="172"/>
    </row>
    <row r="9" spans="1:11" ht="15">
      <c r="A9" s="172"/>
      <c r="B9" s="179" t="s">
        <v>100</v>
      </c>
      <c r="C9" s="182">
        <v>35</v>
      </c>
      <c r="D9" s="178"/>
      <c r="E9" s="174"/>
      <c r="F9" s="357"/>
      <c r="G9" s="357"/>
      <c r="H9" s="357"/>
      <c r="I9" s="357"/>
      <c r="J9" s="357"/>
      <c r="K9" s="172"/>
    </row>
    <row r="10" spans="1:11" ht="15">
      <c r="A10" s="172"/>
      <c r="B10" s="179" t="s">
        <v>101</v>
      </c>
      <c r="C10" s="182">
        <v>35</v>
      </c>
      <c r="D10" s="178"/>
      <c r="E10" s="174"/>
      <c r="F10" s="357"/>
      <c r="G10" s="357"/>
      <c r="H10" s="357"/>
      <c r="I10" s="357"/>
      <c r="J10" s="357"/>
      <c r="K10" s="172"/>
    </row>
    <row r="11" spans="1:11" ht="15">
      <c r="A11" s="172"/>
      <c r="B11" s="183" t="s">
        <v>102</v>
      </c>
      <c r="C11" s="182">
        <v>0</v>
      </c>
      <c r="D11" s="184">
        <f>(C11*125%)*(Brut_de_base_hors_TEPA2/C8)</f>
        <v>0</v>
      </c>
      <c r="E11" s="172"/>
      <c r="F11" s="358">
        <f>H87</f>
        <v>1809.18</v>
      </c>
      <c r="G11" s="359"/>
      <c r="H11" s="359"/>
      <c r="I11" s="359"/>
      <c r="J11" s="359"/>
      <c r="K11" s="172"/>
    </row>
    <row r="12" spans="1:11" ht="15">
      <c r="A12" s="172"/>
      <c r="B12" s="183" t="s">
        <v>103</v>
      </c>
      <c r="C12" s="182">
        <v>0</v>
      </c>
      <c r="D12" s="184">
        <f>(C12*150%)*(Brut_de_base_hors_TEPA2/C8)</f>
        <v>0</v>
      </c>
      <c r="E12" s="172"/>
      <c r="F12" s="359"/>
      <c r="G12" s="359"/>
      <c r="H12" s="359"/>
      <c r="I12" s="359"/>
      <c r="J12" s="359"/>
      <c r="K12" s="172"/>
    </row>
    <row r="13" spans="1:11" ht="15">
      <c r="A13" s="172"/>
      <c r="B13" s="185" t="s">
        <v>104</v>
      </c>
      <c r="C13" s="186" t="e">
        <f>IF((SUM(I28:I59)+Csg_rds_hres_sup2)/BRUT_TOTAL2&lt;0.215,(SUM(I28:I59)+Csg_rds_hres_sup2)/BRUT_TOTAL2,0.215)</f>
        <v>#REF!</v>
      </c>
      <c r="D13" s="187"/>
      <c r="E13" s="174"/>
      <c r="F13" s="359"/>
      <c r="G13" s="359"/>
      <c r="H13" s="359"/>
      <c r="I13" s="359"/>
      <c r="J13" s="359"/>
      <c r="K13" s="172"/>
    </row>
    <row r="14" spans="1:11" ht="15">
      <c r="A14" s="172"/>
      <c r="B14" s="185" t="s">
        <v>105</v>
      </c>
      <c r="C14" s="188" t="e">
        <f>IF(C13&lt;0.215,"vrai","faux")</f>
        <v>#REF!</v>
      </c>
      <c r="D14" s="189"/>
      <c r="E14" s="174"/>
      <c r="F14" s="270"/>
      <c r="G14" s="271"/>
      <c r="H14" s="270"/>
      <c r="I14" s="270"/>
      <c r="J14" s="272"/>
      <c r="K14" s="172"/>
    </row>
    <row r="15" spans="1:11" ht="15">
      <c r="A15" s="172"/>
      <c r="B15" s="185" t="s">
        <v>106</v>
      </c>
      <c r="C15" s="190" t="e">
        <f>brut_TEPA2*C13</f>
        <v>#REF!</v>
      </c>
      <c r="D15" s="189"/>
      <c r="E15" s="174"/>
      <c r="F15" s="173"/>
      <c r="G15" s="174"/>
      <c r="H15" s="173"/>
      <c r="I15" s="173"/>
      <c r="J15" s="175"/>
      <c r="K15" s="172"/>
    </row>
    <row r="16" spans="1:11" ht="15">
      <c r="A16" s="172"/>
      <c r="B16" s="183" t="s">
        <v>107</v>
      </c>
      <c r="C16" s="191">
        <f>IF(C17&gt;0,C17,PMSS2*Nb_d_h_rémunérées_2/151.67)</f>
        <v>2859</v>
      </c>
      <c r="D16" s="189"/>
      <c r="E16" s="172"/>
      <c r="F16" s="173"/>
      <c r="G16" s="174"/>
      <c r="H16" s="173"/>
      <c r="I16" s="173"/>
      <c r="J16" s="175"/>
      <c r="K16" s="172"/>
    </row>
    <row r="17" spans="1:11" ht="15">
      <c r="A17" s="172"/>
      <c r="B17" s="183" t="s">
        <v>108</v>
      </c>
      <c r="C17" s="180"/>
      <c r="D17" s="189"/>
      <c r="E17" s="192"/>
      <c r="F17" s="173"/>
      <c r="G17" s="174"/>
      <c r="H17" s="173"/>
      <c r="I17" s="173"/>
      <c r="J17" s="175"/>
      <c r="K17" s="172"/>
    </row>
    <row r="18" spans="1:11" ht="15">
      <c r="A18" s="172"/>
      <c r="B18" s="179" t="s">
        <v>109</v>
      </c>
      <c r="C18" s="180">
        <v>2859</v>
      </c>
      <c r="D18" s="178"/>
      <c r="E18" s="174"/>
      <c r="F18" s="173"/>
      <c r="G18" s="174"/>
      <c r="H18" s="173"/>
      <c r="I18" s="173"/>
      <c r="J18" s="175"/>
      <c r="K18" s="172"/>
    </row>
    <row r="19" spans="1:11" ht="15">
      <c r="A19" s="172"/>
      <c r="B19" s="179" t="s">
        <v>110</v>
      </c>
      <c r="C19" s="180">
        <v>290.17</v>
      </c>
      <c r="D19" s="178"/>
      <c r="E19" s="174"/>
      <c r="F19" s="173"/>
      <c r="G19" s="174"/>
      <c r="H19" s="173"/>
      <c r="I19" s="140"/>
      <c r="J19" s="175"/>
      <c r="K19" s="172"/>
    </row>
    <row r="20" spans="1:11" ht="15">
      <c r="A20" s="172"/>
      <c r="B20" s="179" t="s">
        <v>111</v>
      </c>
      <c r="C20" s="180">
        <v>9.61</v>
      </c>
      <c r="D20" s="178"/>
      <c r="E20" s="174"/>
      <c r="F20" s="173"/>
      <c r="G20" s="174"/>
      <c r="H20" s="173"/>
      <c r="I20" s="140"/>
      <c r="J20" s="175"/>
      <c r="K20" s="172"/>
    </row>
    <row r="21" spans="1:11" ht="15">
      <c r="A21" s="172"/>
      <c r="B21" s="179" t="s">
        <v>112</v>
      </c>
      <c r="C21" s="193"/>
      <c r="D21" s="194" t="b">
        <v>0</v>
      </c>
      <c r="E21" s="174"/>
      <c r="F21" s="173"/>
      <c r="G21" s="174"/>
      <c r="H21" s="173"/>
      <c r="I21" s="140"/>
      <c r="J21" s="175"/>
      <c r="K21" s="172"/>
    </row>
    <row r="22" spans="1:11" ht="15">
      <c r="A22" s="172"/>
      <c r="B22" s="179" t="s">
        <v>113</v>
      </c>
      <c r="C22" s="195"/>
      <c r="D22" s="194" t="b">
        <v>0</v>
      </c>
      <c r="E22" s="174"/>
      <c r="F22" s="173"/>
      <c r="G22" s="174"/>
      <c r="H22" s="196"/>
      <c r="I22" s="140"/>
      <c r="J22" s="175"/>
      <c r="K22" s="172"/>
    </row>
    <row r="23" spans="1:11" ht="15.75" thickBot="1">
      <c r="A23" s="172"/>
      <c r="B23" s="197" t="s">
        <v>114</v>
      </c>
      <c r="C23" s="198"/>
      <c r="D23" s="199" t="b">
        <v>1</v>
      </c>
      <c r="E23" s="174"/>
      <c r="F23" s="348" t="s">
        <v>184</v>
      </c>
      <c r="G23" s="348"/>
      <c r="H23" s="348"/>
      <c r="I23" s="348"/>
      <c r="J23" s="348"/>
      <c r="K23" s="172"/>
    </row>
    <row r="24" spans="1:11" ht="15">
      <c r="A24" s="172"/>
      <c r="B24" s="172"/>
      <c r="C24" s="200"/>
      <c r="D24" s="200"/>
      <c r="E24" s="174"/>
      <c r="F24" s="173"/>
      <c r="G24" s="174"/>
      <c r="H24" s="173"/>
      <c r="I24" s="173"/>
      <c r="J24" s="175"/>
      <c r="K24" s="172"/>
    </row>
    <row r="25" spans="1:11" ht="15">
      <c r="A25" s="172"/>
      <c r="B25" s="160" t="s">
        <v>115</v>
      </c>
      <c r="C25" s="161" t="s">
        <v>116</v>
      </c>
      <c r="D25" s="161"/>
      <c r="E25" s="162" t="s">
        <v>117</v>
      </c>
      <c r="F25" s="161" t="s">
        <v>118</v>
      </c>
      <c r="G25" s="349" t="s">
        <v>119</v>
      </c>
      <c r="H25" s="350"/>
      <c r="I25" s="201"/>
      <c r="J25" s="269" t="s">
        <v>120</v>
      </c>
      <c r="K25" s="172"/>
    </row>
    <row r="26" spans="1:11" ht="15">
      <c r="A26" s="172"/>
      <c r="B26" s="202"/>
      <c r="C26" s="143"/>
      <c r="D26" s="203"/>
      <c r="E26" s="204"/>
      <c r="F26" s="143"/>
      <c r="G26" s="204"/>
      <c r="H26" s="144"/>
      <c r="I26" s="205"/>
      <c r="J26" s="206"/>
      <c r="K26" s="172"/>
    </row>
    <row r="27" spans="1:11" ht="15">
      <c r="A27" s="172"/>
      <c r="B27" s="163" t="s">
        <v>121</v>
      </c>
      <c r="C27" s="143"/>
      <c r="D27" s="203"/>
      <c r="E27" s="208"/>
      <c r="F27" s="143"/>
      <c r="G27" s="204"/>
      <c r="H27" s="144"/>
      <c r="I27" s="205"/>
      <c r="J27" s="206"/>
      <c r="K27" s="172"/>
    </row>
    <row r="28" spans="1:11" ht="15">
      <c r="A28" s="172"/>
      <c r="B28" s="202" t="s">
        <v>122</v>
      </c>
      <c r="C28" s="143">
        <f>BRUT_TOTAL2</f>
        <v>2333.336752066624</v>
      </c>
      <c r="D28" s="203"/>
      <c r="E28" s="209">
        <v>0.0075</v>
      </c>
      <c r="F28" s="143">
        <f>ROUNDDOWN($C28*E28,2)</f>
        <v>17.5</v>
      </c>
      <c r="G28" s="210">
        <v>0.128</v>
      </c>
      <c r="H28" s="144">
        <f aca="true" t="shared" si="0" ref="H28:H54">ROUNDDOWN($C28*G28,2)</f>
        <v>298.66</v>
      </c>
      <c r="I28" s="205">
        <f>F28</f>
        <v>17.5</v>
      </c>
      <c r="J28" s="206">
        <f aca="true" t="shared" si="1" ref="J28:J38">E28+G28</f>
        <v>0.1355</v>
      </c>
      <c r="K28" s="172"/>
    </row>
    <row r="29" spans="1:11" ht="15">
      <c r="A29" s="172"/>
      <c r="B29" s="202" t="s">
        <v>123</v>
      </c>
      <c r="C29" s="143">
        <f>BRUT_TOTAL2</f>
        <v>2333.336752066624</v>
      </c>
      <c r="D29" s="203"/>
      <c r="E29" s="211"/>
      <c r="F29" s="143"/>
      <c r="G29" s="210">
        <v>0.003</v>
      </c>
      <c r="H29" s="144">
        <f t="shared" si="0"/>
        <v>7</v>
      </c>
      <c r="I29" s="205">
        <f aca="true" t="shared" si="2" ref="I29:I59">F29</f>
        <v>0</v>
      </c>
      <c r="J29" s="206">
        <f t="shared" si="1"/>
        <v>0.003</v>
      </c>
      <c r="K29" s="172"/>
    </row>
    <row r="30" spans="1:11" ht="15">
      <c r="A30" s="172"/>
      <c r="B30" s="202" t="s">
        <v>124</v>
      </c>
      <c r="C30" s="143">
        <f>IF(BRUT_TOTAL2&gt;Plafond_de_passage2,Plafond_de_passage2,BRUT_TOTAL2)</f>
        <v>2333.336752066624</v>
      </c>
      <c r="D30" s="203"/>
      <c r="E30" s="209">
        <v>0.0665</v>
      </c>
      <c r="F30" s="143">
        <f>ROUNDDOWN($C30*E30,2)</f>
        <v>155.16</v>
      </c>
      <c r="G30" s="210">
        <v>0.083</v>
      </c>
      <c r="H30" s="144">
        <f t="shared" si="0"/>
        <v>193.66</v>
      </c>
      <c r="I30" s="205">
        <f t="shared" si="2"/>
        <v>155.16</v>
      </c>
      <c r="J30" s="206">
        <f t="shared" si="1"/>
        <v>0.14950000000000002</v>
      </c>
      <c r="K30" s="172"/>
    </row>
    <row r="31" spans="1:11" ht="15">
      <c r="A31" s="172"/>
      <c r="B31" s="202" t="s">
        <v>125</v>
      </c>
      <c r="C31" s="143">
        <f>BRUT_TOTAL2</f>
        <v>2333.336752066624</v>
      </c>
      <c r="D31" s="203"/>
      <c r="E31" s="209">
        <v>0.001</v>
      </c>
      <c r="F31" s="143">
        <f>ROUNDDOWN($C31*E31,2)</f>
        <v>2.33</v>
      </c>
      <c r="G31" s="210">
        <v>0.016</v>
      </c>
      <c r="H31" s="144">
        <f t="shared" si="0"/>
        <v>37.33</v>
      </c>
      <c r="I31" s="205">
        <f t="shared" si="2"/>
        <v>2.33</v>
      </c>
      <c r="J31" s="206">
        <f t="shared" si="1"/>
        <v>0.017</v>
      </c>
      <c r="K31" s="172"/>
    </row>
    <row r="32" spans="1:11" ht="15">
      <c r="A32" s="172"/>
      <c r="B32" s="202" t="s">
        <v>126</v>
      </c>
      <c r="C32" s="143">
        <f>BRUT_TOTAL2</f>
        <v>2333.336752066624</v>
      </c>
      <c r="D32" s="203"/>
      <c r="E32" s="211"/>
      <c r="F32" s="143"/>
      <c r="G32" s="210">
        <v>0.054</v>
      </c>
      <c r="H32" s="144">
        <f t="shared" si="0"/>
        <v>126</v>
      </c>
      <c r="I32" s="205">
        <f t="shared" si="2"/>
        <v>0</v>
      </c>
      <c r="J32" s="206">
        <f t="shared" si="1"/>
        <v>0.054</v>
      </c>
      <c r="K32" s="172"/>
    </row>
    <row r="33" spans="1:11" ht="15">
      <c r="A33" s="172"/>
      <c r="B33" s="202" t="s">
        <v>127</v>
      </c>
      <c r="C33" s="143">
        <f>BRUT_TOTAL2</f>
        <v>2333.336752066624</v>
      </c>
      <c r="D33" s="203"/>
      <c r="E33" s="211"/>
      <c r="F33" s="143"/>
      <c r="G33" s="212">
        <v>0.014</v>
      </c>
      <c r="H33" s="144">
        <f t="shared" si="0"/>
        <v>32.66</v>
      </c>
      <c r="I33" s="205">
        <f t="shared" si="2"/>
        <v>0</v>
      </c>
      <c r="J33" s="206">
        <f t="shared" si="1"/>
        <v>0.014</v>
      </c>
      <c r="K33" s="172"/>
    </row>
    <row r="34" spans="1:11" ht="15">
      <c r="A34" s="172"/>
      <c r="B34" s="202" t="s">
        <v>128</v>
      </c>
      <c r="C34" s="143">
        <f>C30</f>
        <v>2333.336752066624</v>
      </c>
      <c r="D34" s="203"/>
      <c r="E34" s="211"/>
      <c r="F34" s="143"/>
      <c r="G34" s="210">
        <v>0.001</v>
      </c>
      <c r="H34" s="144">
        <f t="shared" si="0"/>
        <v>2.33</v>
      </c>
      <c r="I34" s="205">
        <f t="shared" si="2"/>
        <v>0</v>
      </c>
      <c r="J34" s="206">
        <f t="shared" si="1"/>
        <v>0.001</v>
      </c>
      <c r="K34" s="172"/>
    </row>
    <row r="35" spans="1:11" ht="15">
      <c r="A35" s="213"/>
      <c r="B35" s="202" t="s">
        <v>129</v>
      </c>
      <c r="C35" s="143">
        <f>IF(D22,BRUT_TOTAL2,0)</f>
        <v>0</v>
      </c>
      <c r="D35" s="203"/>
      <c r="E35" s="211"/>
      <c r="F35" s="143"/>
      <c r="G35" s="208">
        <v>0.004</v>
      </c>
      <c r="H35" s="144">
        <f t="shared" si="0"/>
        <v>0</v>
      </c>
      <c r="I35" s="205">
        <f t="shared" si="2"/>
        <v>0</v>
      </c>
      <c r="J35" s="206">
        <f t="shared" si="1"/>
        <v>0.004</v>
      </c>
      <c r="K35" s="172"/>
    </row>
    <row r="36" spans="1:11" ht="15">
      <c r="A36" s="213" t="b">
        <v>0</v>
      </c>
      <c r="B36" s="202" t="s">
        <v>130</v>
      </c>
      <c r="C36" s="143">
        <f>IF(A36,BRUT_TOTAL2,0)</f>
        <v>0</v>
      </c>
      <c r="D36" s="203"/>
      <c r="E36" s="211"/>
      <c r="F36" s="143"/>
      <c r="G36" s="214">
        <v>0.026</v>
      </c>
      <c r="H36" s="144">
        <f t="shared" si="0"/>
        <v>0</v>
      </c>
      <c r="I36" s="205">
        <f t="shared" si="2"/>
        <v>0</v>
      </c>
      <c r="J36" s="206">
        <f t="shared" si="1"/>
        <v>0.026</v>
      </c>
      <c r="K36" s="172"/>
    </row>
    <row r="37" spans="1:11" ht="15">
      <c r="A37" s="172"/>
      <c r="B37" s="202" t="s">
        <v>131</v>
      </c>
      <c r="C37" s="143"/>
      <c r="D37" s="203"/>
      <c r="E37" s="211"/>
      <c r="F37" s="143"/>
      <c r="G37" s="208"/>
      <c r="H37" s="144">
        <f>IF(C21,-(BRUT_TOTAL2)*H108,-(BRUT_TOTAL2)*G108)</f>
        <v>0</v>
      </c>
      <c r="I37" s="205">
        <f t="shared" si="2"/>
        <v>0</v>
      </c>
      <c r="J37" s="206"/>
      <c r="K37" s="172"/>
    </row>
    <row r="38" spans="1:11" ht="15">
      <c r="A38" s="213" t="b">
        <v>0</v>
      </c>
      <c r="B38" s="202" t="s">
        <v>132</v>
      </c>
      <c r="C38" s="143">
        <f>IF(A38,BRUT_TOTAL2,0)</f>
        <v>0</v>
      </c>
      <c r="D38" s="203"/>
      <c r="E38" s="211"/>
      <c r="F38" s="143"/>
      <c r="G38" s="208">
        <v>0.0045</v>
      </c>
      <c r="H38" s="144">
        <f>ROUNDDOWN($C38*G38,2)</f>
        <v>0</v>
      </c>
      <c r="I38" s="205">
        <f t="shared" si="2"/>
        <v>0</v>
      </c>
      <c r="J38" s="206">
        <f t="shared" si="1"/>
        <v>0.0045</v>
      </c>
      <c r="K38" s="172"/>
    </row>
    <row r="39" spans="1:11" ht="15">
      <c r="A39" s="172"/>
      <c r="B39" s="202" t="s">
        <v>133</v>
      </c>
      <c r="C39" s="143"/>
      <c r="D39" s="203"/>
      <c r="E39" s="211"/>
      <c r="F39" s="143"/>
      <c r="G39" s="208"/>
      <c r="H39" s="144"/>
      <c r="I39" s="205">
        <f t="shared" si="2"/>
        <v>0</v>
      </c>
      <c r="J39" s="206"/>
      <c r="K39" s="172"/>
    </row>
    <row r="40" spans="1:11" ht="15">
      <c r="A40" s="172"/>
      <c r="B40" s="202" t="s">
        <v>134</v>
      </c>
      <c r="C40" s="143">
        <f>IF(BRUT_TOTAL2&gt;Plafond_de_passage2,Plafond_de_passage2,BRUT_TOTAL2)</f>
        <v>2333.336752066624</v>
      </c>
      <c r="D40" s="203"/>
      <c r="E40" s="211">
        <v>0.024</v>
      </c>
      <c r="F40" s="143">
        <f>ROUNDDOWN($C40*E40,2)</f>
        <v>56</v>
      </c>
      <c r="G40" s="208">
        <v>0.04</v>
      </c>
      <c r="H40" s="144">
        <f t="shared" si="0"/>
        <v>93.33</v>
      </c>
      <c r="I40" s="205">
        <f t="shared" si="2"/>
        <v>56</v>
      </c>
      <c r="J40" s="206">
        <f>E40+G40</f>
        <v>0.064</v>
      </c>
      <c r="K40" s="172"/>
    </row>
    <row r="41" spans="1:11" ht="15">
      <c r="A41" s="172"/>
      <c r="B41" s="202" t="s">
        <v>135</v>
      </c>
      <c r="C41" s="143">
        <f>IF(IF(BRUT_TOTAL2-Plafond_de_passage2&gt;Plafond_de_passage2*4,Plafond_de_passage2*4-C40,BRUT_TOTAL2-Plafond_de_passage2)&lt;0,0,IF(BRUT_TOTAL2-Plafond_de_passage2&gt;Plafond_de_passage2*4,Plafond_de_passage2*4-C40,BRUT_TOTAL2-Plafond_de_passage2))</f>
        <v>0</v>
      </c>
      <c r="D41" s="203"/>
      <c r="E41" s="211">
        <v>0.024</v>
      </c>
      <c r="F41" s="143">
        <f>ROUNDDOWN($C41*E41,2)</f>
        <v>0</v>
      </c>
      <c r="G41" s="208">
        <v>0.04</v>
      </c>
      <c r="H41" s="144">
        <f t="shared" si="0"/>
        <v>0</v>
      </c>
      <c r="I41" s="205">
        <f t="shared" si="2"/>
        <v>0</v>
      </c>
      <c r="J41" s="206">
        <f>E41+G41</f>
        <v>0.064</v>
      </c>
      <c r="K41" s="172"/>
    </row>
    <row r="42" spans="1:11" ht="15">
      <c r="A42" s="172"/>
      <c r="B42" s="202" t="s">
        <v>136</v>
      </c>
      <c r="C42" s="143">
        <f>C40+C41</f>
        <v>2333.336752066624</v>
      </c>
      <c r="D42" s="203"/>
      <c r="E42" s="211"/>
      <c r="F42" s="143"/>
      <c r="G42" s="208">
        <v>0.003</v>
      </c>
      <c r="H42" s="144">
        <f t="shared" si="0"/>
        <v>7</v>
      </c>
      <c r="I42" s="205">
        <f t="shared" si="2"/>
        <v>0</v>
      </c>
      <c r="J42" s="206">
        <f>E42+G42</f>
        <v>0.003</v>
      </c>
      <c r="K42" s="172"/>
    </row>
    <row r="43" spans="1:11" ht="15">
      <c r="A43" s="172"/>
      <c r="B43" s="163" t="s">
        <v>137</v>
      </c>
      <c r="C43" s="143"/>
      <c r="D43" s="203"/>
      <c r="E43" s="211"/>
      <c r="F43" s="143"/>
      <c r="G43" s="208"/>
      <c r="H43" s="144"/>
      <c r="I43" s="205">
        <f t="shared" si="2"/>
        <v>0</v>
      </c>
      <c r="J43" s="206"/>
      <c r="K43" s="172"/>
    </row>
    <row r="44" spans="1:11" ht="15">
      <c r="A44" s="172"/>
      <c r="B44" s="202" t="s">
        <v>138</v>
      </c>
      <c r="C44" s="143">
        <f>C30</f>
        <v>2333.336752066624</v>
      </c>
      <c r="D44" s="203"/>
      <c r="E44" s="211">
        <v>0.03</v>
      </c>
      <c r="F44" s="143">
        <f aca="true" t="shared" si="3" ref="F44:F54">ROUNDDOWN($C44*E44,2)</f>
        <v>70</v>
      </c>
      <c r="G44" s="208">
        <v>0.045</v>
      </c>
      <c r="H44" s="144">
        <f t="shared" si="0"/>
        <v>105</v>
      </c>
      <c r="I44" s="205">
        <f t="shared" si="2"/>
        <v>70</v>
      </c>
      <c r="J44" s="206">
        <f>E44+G44</f>
        <v>0.075</v>
      </c>
      <c r="K44" s="172"/>
    </row>
    <row r="45" spans="1:11" ht="15">
      <c r="A45" s="172"/>
      <c r="B45" s="202" t="s">
        <v>139</v>
      </c>
      <c r="C45" s="143">
        <f>IF(IF(NOT(C23),IF(BRUT_TOTAL2&gt;Plafond_de_passage2*3,Plafond_de_passage2*3-Plafond_de_passage2,BRUT_TOTAL2-Plafond_de_passage2),IF(BRUT_TOTAL2&gt;Plafond_de_passage2*4,Plafond_de_passage2*4-Plafond_de_passage2,BRUT_TOTAL2-Plafond_de_passage2))&lt;0,0,IF(NOT(C23),IF(BRUT_TOTAL2&gt;Plafond_de_passage2*3,Plafond_de_passage2*3-Plafond_de_passage2,BRUT_TOTAL2-Plafond_de_passage2),IF(BRUT_TOTAL2&gt;Plafond_de_passage2*4,Plafond_de_passage2*4-Plafond_de_passage2,BRUT_TOTAL2-Plafond_de_passage2)))</f>
        <v>0</v>
      </c>
      <c r="D45" s="203"/>
      <c r="E45" s="211">
        <f>IF($C$23,7.7%,8%)</f>
        <v>0.08</v>
      </c>
      <c r="F45" s="143">
        <f t="shared" si="3"/>
        <v>0</v>
      </c>
      <c r="G45" s="211">
        <f>IF($C$23,12.6%,12%)</f>
        <v>0.12</v>
      </c>
      <c r="H45" s="144">
        <f t="shared" si="0"/>
        <v>0</v>
      </c>
      <c r="I45" s="205">
        <f t="shared" si="2"/>
        <v>0</v>
      </c>
      <c r="J45" s="206">
        <f>E45+G45</f>
        <v>0.2</v>
      </c>
      <c r="K45" s="172"/>
    </row>
    <row r="46" spans="1:11" ht="15">
      <c r="A46" s="172"/>
      <c r="B46" s="202" t="s">
        <v>140</v>
      </c>
      <c r="C46" s="143">
        <f>C41</f>
        <v>0</v>
      </c>
      <c r="D46" s="203"/>
      <c r="E46" s="215">
        <f>IF($C$23,0.00024,0)</f>
        <v>0</v>
      </c>
      <c r="F46" s="143">
        <f t="shared" si="3"/>
        <v>0</v>
      </c>
      <c r="G46" s="215">
        <f>IF($C$23,0.00036,0)</f>
        <v>0</v>
      </c>
      <c r="H46" s="144">
        <f t="shared" si="0"/>
        <v>0</v>
      </c>
      <c r="I46" s="205">
        <f t="shared" si="2"/>
        <v>0</v>
      </c>
      <c r="J46" s="206">
        <f>E46+G46</f>
        <v>0</v>
      </c>
      <c r="K46" s="172"/>
    </row>
    <row r="47" spans="1:11" ht="15">
      <c r="A47" s="213" t="b">
        <v>0</v>
      </c>
      <c r="B47" s="202" t="s">
        <v>141</v>
      </c>
      <c r="C47" s="143"/>
      <c r="D47" s="203"/>
      <c r="E47" s="211"/>
      <c r="F47" s="143">
        <f>IF(AND($D$23,$A$47),7.72,0)</f>
        <v>0</v>
      </c>
      <c r="G47" s="208"/>
      <c r="H47" s="144">
        <f>IF(AND($D$23,$A$47),11.59,0)</f>
        <v>0</v>
      </c>
      <c r="I47" s="205">
        <f t="shared" si="2"/>
        <v>0</v>
      </c>
      <c r="J47" s="206"/>
      <c r="K47" s="172"/>
    </row>
    <row r="48" spans="1:11" ht="15">
      <c r="A48" s="172"/>
      <c r="B48" s="202" t="s">
        <v>142</v>
      </c>
      <c r="C48" s="143">
        <f>IF(BRUT_TOTAL2&gt;Plafond_de_passage2*8,Plafond_de_passage2*8,BRUT_TOTAL2)</f>
        <v>2333.336752066624</v>
      </c>
      <c r="D48" s="203"/>
      <c r="E48" s="211">
        <f>IF($C$23,0.0013,0)</f>
        <v>0</v>
      </c>
      <c r="F48" s="143">
        <f t="shared" si="3"/>
        <v>0</v>
      </c>
      <c r="G48" s="208">
        <f>IF($C$23,0.0022,0)</f>
        <v>0</v>
      </c>
      <c r="H48" s="144">
        <f t="shared" si="0"/>
        <v>0</v>
      </c>
      <c r="I48" s="205">
        <f t="shared" si="2"/>
        <v>0</v>
      </c>
      <c r="J48" s="206">
        <f>E48+G48</f>
        <v>0</v>
      </c>
      <c r="K48" s="172"/>
    </row>
    <row r="49" spans="1:11" ht="15">
      <c r="A49" s="172"/>
      <c r="B49" s="202" t="s">
        <v>143</v>
      </c>
      <c r="C49" s="143">
        <f>C30</f>
        <v>2333.336752066624</v>
      </c>
      <c r="D49" s="203"/>
      <c r="E49" s="211">
        <v>0.008</v>
      </c>
      <c r="F49" s="143">
        <f t="shared" si="3"/>
        <v>18.66</v>
      </c>
      <c r="G49" s="208">
        <v>0.012</v>
      </c>
      <c r="H49" s="144">
        <f t="shared" si="0"/>
        <v>28</v>
      </c>
      <c r="I49" s="205">
        <f t="shared" si="2"/>
        <v>18.66</v>
      </c>
      <c r="J49" s="206">
        <f>E49+G49</f>
        <v>0.02</v>
      </c>
      <c r="K49" s="172"/>
    </row>
    <row r="50" spans="1:11" ht="15">
      <c r="A50" s="172"/>
      <c r="B50" s="202" t="s">
        <v>144</v>
      </c>
      <c r="C50" s="143">
        <f>C41</f>
        <v>0</v>
      </c>
      <c r="D50" s="203"/>
      <c r="E50" s="211">
        <v>0.009</v>
      </c>
      <c r="F50" s="143">
        <f t="shared" si="3"/>
        <v>0</v>
      </c>
      <c r="G50" s="208">
        <v>0.013</v>
      </c>
      <c r="H50" s="144">
        <f t="shared" si="0"/>
        <v>0</v>
      </c>
      <c r="I50" s="205">
        <f t="shared" si="2"/>
        <v>0</v>
      </c>
      <c r="J50" s="206">
        <f>E50+G50</f>
        <v>0.022</v>
      </c>
      <c r="K50" s="172"/>
    </row>
    <row r="51" spans="1:11" ht="15">
      <c r="A51" s="172"/>
      <c r="B51" s="163" t="s">
        <v>145</v>
      </c>
      <c r="C51" s="143"/>
      <c r="D51" s="203"/>
      <c r="E51" s="211"/>
      <c r="F51" s="143"/>
      <c r="G51" s="208"/>
      <c r="H51" s="144"/>
      <c r="I51" s="205">
        <f t="shared" si="2"/>
        <v>0</v>
      </c>
      <c r="J51" s="206"/>
      <c r="K51" s="172"/>
    </row>
    <row r="52" spans="1:11" ht="15">
      <c r="A52" s="213" t="b">
        <v>0</v>
      </c>
      <c r="B52" s="202" t="s">
        <v>146</v>
      </c>
      <c r="C52" s="143">
        <f>IF(C23,0,Plafond_de_passage2)</f>
        <v>2859</v>
      </c>
      <c r="D52" s="203"/>
      <c r="E52" s="215">
        <v>0.0082</v>
      </c>
      <c r="F52" s="143">
        <f t="shared" si="3"/>
        <v>23.44</v>
      </c>
      <c r="G52" s="215">
        <v>0</v>
      </c>
      <c r="H52" s="144">
        <f t="shared" si="0"/>
        <v>0</v>
      </c>
      <c r="I52" s="205">
        <f t="shared" si="2"/>
        <v>23.44</v>
      </c>
      <c r="J52" s="206">
        <f>E52+G52</f>
        <v>0.0082</v>
      </c>
      <c r="K52" s="172"/>
    </row>
    <row r="53" spans="1:11" ht="15">
      <c r="A53" s="172"/>
      <c r="B53" s="202" t="s">
        <v>147</v>
      </c>
      <c r="C53" s="143">
        <f>IF(C23,C30,0)</f>
        <v>0</v>
      </c>
      <c r="D53" s="203"/>
      <c r="E53" s="215">
        <v>0.00805</v>
      </c>
      <c r="F53" s="143">
        <f t="shared" si="3"/>
        <v>0</v>
      </c>
      <c r="G53" s="215">
        <v>0.00805</v>
      </c>
      <c r="H53" s="144">
        <f t="shared" si="0"/>
        <v>0</v>
      </c>
      <c r="I53" s="205">
        <f t="shared" si="2"/>
        <v>0</v>
      </c>
      <c r="J53" s="206">
        <f>E53+G53</f>
        <v>0.0161</v>
      </c>
      <c r="K53" s="172"/>
    </row>
    <row r="54" spans="1:11" ht="15">
      <c r="A54" s="172"/>
      <c r="B54" s="202" t="s">
        <v>148</v>
      </c>
      <c r="C54" s="143">
        <f>C41</f>
        <v>0</v>
      </c>
      <c r="D54" s="203"/>
      <c r="E54" s="215">
        <v>0.0082</v>
      </c>
      <c r="F54" s="143">
        <f t="shared" si="3"/>
        <v>0</v>
      </c>
      <c r="G54" s="215">
        <v>0.0134</v>
      </c>
      <c r="H54" s="144">
        <f t="shared" si="0"/>
        <v>0</v>
      </c>
      <c r="I54" s="205">
        <f t="shared" si="2"/>
        <v>0</v>
      </c>
      <c r="J54" s="206">
        <f>E54+G54</f>
        <v>0.0216</v>
      </c>
      <c r="K54" s="172"/>
    </row>
    <row r="55" spans="1:11" ht="15">
      <c r="A55" s="172"/>
      <c r="B55" s="216" t="s">
        <v>149</v>
      </c>
      <c r="C55" s="143"/>
      <c r="D55" s="203"/>
      <c r="E55" s="211"/>
      <c r="F55" s="145">
        <v>0</v>
      </c>
      <c r="G55" s="208"/>
      <c r="H55" s="146">
        <v>0</v>
      </c>
      <c r="I55" s="205">
        <f t="shared" si="2"/>
        <v>0</v>
      </c>
      <c r="J55" s="206"/>
      <c r="K55" s="172"/>
    </row>
    <row r="56" spans="1:11" ht="15">
      <c r="A56" s="172"/>
      <c r="B56" s="163" t="s">
        <v>150</v>
      </c>
      <c r="C56" s="147"/>
      <c r="D56" s="217"/>
      <c r="E56" s="218"/>
      <c r="F56" s="147"/>
      <c r="G56" s="208"/>
      <c r="H56" s="144"/>
      <c r="I56" s="205">
        <f t="shared" si="2"/>
        <v>0</v>
      </c>
      <c r="J56" s="206"/>
      <c r="K56" s="172"/>
    </row>
    <row r="57" spans="1:11" ht="15">
      <c r="A57" s="172"/>
      <c r="B57" s="202" t="s">
        <v>151</v>
      </c>
      <c r="C57" s="143">
        <f>(Brut_de_base_hors_TEPA2+C5+H52+H53+H54+H55)*97%</f>
        <v>2263.3366495046253</v>
      </c>
      <c r="D57" s="203"/>
      <c r="E57" s="211">
        <v>0.051</v>
      </c>
      <c r="F57" s="143">
        <f>ROUNDDOWN($C57*E57,2)</f>
        <v>115.43</v>
      </c>
      <c r="G57" s="211"/>
      <c r="H57" s="144"/>
      <c r="I57" s="205">
        <f t="shared" si="2"/>
        <v>115.43</v>
      </c>
      <c r="J57" s="206">
        <f>E57+G57</f>
        <v>0.051</v>
      </c>
      <c r="K57" s="172"/>
    </row>
    <row r="58" spans="1:11" ht="15">
      <c r="A58" s="172"/>
      <c r="B58" s="202" t="s">
        <v>152</v>
      </c>
      <c r="C58" s="143">
        <f>(brut_TEPA2)*97%</f>
        <v>0</v>
      </c>
      <c r="D58" s="203"/>
      <c r="E58" s="211">
        <v>0.08</v>
      </c>
      <c r="F58" s="143">
        <f>ROUNDDOWN($C58*E58,2)</f>
        <v>0</v>
      </c>
      <c r="G58" s="211"/>
      <c r="H58" s="144"/>
      <c r="I58" s="205">
        <f t="shared" si="2"/>
        <v>0</v>
      </c>
      <c r="J58" s="206">
        <f>E58+G58</f>
        <v>0.08</v>
      </c>
      <c r="K58" s="172"/>
    </row>
    <row r="59" spans="1:11" ht="15">
      <c r="A59" s="172"/>
      <c r="B59" s="202" t="s">
        <v>153</v>
      </c>
      <c r="C59" s="143">
        <f>C11+C12</f>
        <v>0</v>
      </c>
      <c r="D59" s="203"/>
      <c r="E59" s="211"/>
      <c r="F59" s="143"/>
      <c r="G59" s="219">
        <f>IF(C22,0.5,1.5)</f>
        <v>1.5</v>
      </c>
      <c r="H59" s="144">
        <f>-C59*G59</f>
        <v>0</v>
      </c>
      <c r="I59" s="205">
        <f t="shared" si="2"/>
        <v>0</v>
      </c>
      <c r="J59" s="206"/>
      <c r="K59" s="172"/>
    </row>
    <row r="60" spans="1:11" ht="15">
      <c r="A60" s="172"/>
      <c r="B60" s="202" t="s">
        <v>154</v>
      </c>
      <c r="C60" s="143">
        <f>brut_TEPA2</f>
        <v>0</v>
      </c>
      <c r="D60" s="203"/>
      <c r="E60" s="220">
        <f>0.27</f>
        <v>0.27</v>
      </c>
      <c r="F60" s="143">
        <f>-C60*E60</f>
        <v>0</v>
      </c>
      <c r="G60" s="221"/>
      <c r="H60" s="144"/>
      <c r="I60" s="192"/>
      <c r="J60" s="206"/>
      <c r="K60" s="172"/>
    </row>
    <row r="61" spans="1:11" ht="15">
      <c r="A61" s="172"/>
      <c r="B61" s="163" t="s">
        <v>155</v>
      </c>
      <c r="C61" s="143"/>
      <c r="D61" s="203"/>
      <c r="E61" s="222"/>
      <c r="F61" s="143"/>
      <c r="G61" s="222"/>
      <c r="H61" s="144"/>
      <c r="I61" s="192"/>
      <c r="J61" s="206"/>
      <c r="K61" s="172"/>
    </row>
    <row r="62" spans="1:11" ht="15">
      <c r="A62" s="172"/>
      <c r="B62" s="202" t="s">
        <v>156</v>
      </c>
      <c r="C62" s="143">
        <f>BRUT_TOTAL2</f>
        <v>2333.336752066624</v>
      </c>
      <c r="D62" s="203"/>
      <c r="E62" s="217"/>
      <c r="F62" s="147"/>
      <c r="G62" s="211">
        <v>0</v>
      </c>
      <c r="H62" s="144">
        <f>ROUNDDOWN($C62*G62,2)</f>
        <v>0</v>
      </c>
      <c r="I62" s="192"/>
      <c r="J62" s="206">
        <f>E62+G62</f>
        <v>0</v>
      </c>
      <c r="K62" s="172"/>
    </row>
    <row r="63" spans="1:11" ht="15">
      <c r="A63" s="172"/>
      <c r="B63" s="202" t="s">
        <v>157</v>
      </c>
      <c r="C63" s="143">
        <f>BRUT_TOTAL2</f>
        <v>2333.336752066624</v>
      </c>
      <c r="D63" s="203"/>
      <c r="E63" s="217"/>
      <c r="F63" s="147"/>
      <c r="G63" s="211">
        <v>0</v>
      </c>
      <c r="H63" s="144">
        <f>ROUNDDOWN($C63*G63,2)</f>
        <v>0</v>
      </c>
      <c r="I63" s="192"/>
      <c r="J63" s="206">
        <f>E63+G63</f>
        <v>0</v>
      </c>
      <c r="K63" s="172"/>
    </row>
    <row r="64" spans="1:11" ht="15">
      <c r="A64" s="172"/>
      <c r="B64" s="216" t="s">
        <v>158</v>
      </c>
      <c r="C64" s="143">
        <f>BRUT_TOTAL2</f>
        <v>2333.336752066624</v>
      </c>
      <c r="D64" s="203"/>
      <c r="E64" s="217"/>
      <c r="F64" s="147"/>
      <c r="G64" s="211">
        <v>0</v>
      </c>
      <c r="H64" s="144">
        <f>ROUNDDOWN($C64*G64,2)</f>
        <v>0</v>
      </c>
      <c r="I64" s="192"/>
      <c r="J64" s="206">
        <f>E64+G64</f>
        <v>0</v>
      </c>
      <c r="K64" s="172"/>
    </row>
    <row r="65" spans="1:11" ht="15">
      <c r="A65" s="213" t="b">
        <v>1</v>
      </c>
      <c r="B65" s="216" t="s">
        <v>159</v>
      </c>
      <c r="C65" s="143">
        <f>IF(A65,H52+H53+H54+H55,0)</f>
        <v>0</v>
      </c>
      <c r="D65" s="203"/>
      <c r="E65" s="217"/>
      <c r="F65" s="147"/>
      <c r="G65" s="211">
        <v>0.08</v>
      </c>
      <c r="H65" s="144">
        <f>C65*G65</f>
        <v>0</v>
      </c>
      <c r="I65" s="192"/>
      <c r="J65" s="223">
        <f>E65+G65</f>
        <v>0.08</v>
      </c>
      <c r="K65" s="172"/>
    </row>
    <row r="66" spans="1:11" ht="15">
      <c r="A66" s="172"/>
      <c r="B66" s="202"/>
      <c r="C66" s="147"/>
      <c r="D66" s="217"/>
      <c r="E66" s="217"/>
      <c r="F66" s="147"/>
      <c r="G66" s="204"/>
      <c r="H66" s="144"/>
      <c r="I66" s="192"/>
      <c r="J66" s="206"/>
      <c r="K66" s="172"/>
    </row>
    <row r="67" spans="1:11" ht="15">
      <c r="A67" s="172"/>
      <c r="B67" s="164" t="s">
        <v>160</v>
      </c>
      <c r="C67" s="148"/>
      <c r="D67" s="225"/>
      <c r="E67" s="226">
        <f>(F67/BRUT_TOTAL2)</f>
        <v>0.19650828351025257</v>
      </c>
      <c r="F67" s="148">
        <f>SUM(F28:F60)</f>
        <v>458.52000000000004</v>
      </c>
      <c r="G67" s="226">
        <f>(H67/BRUT_TOTAL2)</f>
        <v>0.3989865582734447</v>
      </c>
      <c r="H67" s="149">
        <f>SUM(H28:H66)</f>
        <v>930.9700000000001</v>
      </c>
      <c r="I67" s="227"/>
      <c r="J67" s="206"/>
      <c r="K67" s="172"/>
    </row>
    <row r="68" spans="1:11" ht="15">
      <c r="A68" s="172"/>
      <c r="B68" s="224"/>
      <c r="C68" s="148"/>
      <c r="D68" s="225"/>
      <c r="E68" s="208"/>
      <c r="F68" s="148"/>
      <c r="G68" s="226"/>
      <c r="H68" s="149"/>
      <c r="I68" s="227"/>
      <c r="J68" s="206"/>
      <c r="K68" s="172"/>
    </row>
    <row r="69" spans="1:11" ht="15">
      <c r="A69" s="172"/>
      <c r="B69" s="164" t="s">
        <v>161</v>
      </c>
      <c r="C69" s="148"/>
      <c r="D69" s="225"/>
      <c r="E69" s="208"/>
      <c r="F69" s="148">
        <f>brut_TEPA2</f>
        <v>0</v>
      </c>
      <c r="G69" s="226"/>
      <c r="H69" s="149"/>
      <c r="I69" s="227"/>
      <c r="J69" s="206"/>
      <c r="K69" s="172"/>
    </row>
    <row r="70" spans="1:11" ht="15">
      <c r="A70" s="172"/>
      <c r="B70" s="202"/>
      <c r="C70" s="147"/>
      <c r="D70" s="217"/>
      <c r="E70" s="228"/>
      <c r="F70" s="147"/>
      <c r="G70" s="204"/>
      <c r="H70" s="144"/>
      <c r="I70" s="192"/>
      <c r="J70" s="206"/>
      <c r="K70" s="172"/>
    </row>
    <row r="71" spans="1:11" ht="15">
      <c r="A71" s="172"/>
      <c r="B71" s="164" t="s">
        <v>162</v>
      </c>
      <c r="C71" s="148"/>
      <c r="D71" s="225"/>
      <c r="E71" s="228"/>
      <c r="F71" s="148">
        <f>BRUT_TOTAL2-F67-F69</f>
        <v>1874.8167520666238</v>
      </c>
      <c r="G71" s="204"/>
      <c r="H71" s="144"/>
      <c r="I71" s="192"/>
      <c r="J71" s="206"/>
      <c r="K71" s="172"/>
    </row>
    <row r="72" spans="1:11" ht="15">
      <c r="A72" s="172"/>
      <c r="B72" s="202"/>
      <c r="C72" s="147"/>
      <c r="D72" s="217"/>
      <c r="E72" s="228"/>
      <c r="F72" s="147"/>
      <c r="G72" s="204"/>
      <c r="H72" s="144"/>
      <c r="I72" s="192"/>
      <c r="J72" s="206"/>
      <c r="K72" s="172"/>
    </row>
    <row r="73" spans="1:11" ht="15">
      <c r="A73" s="172"/>
      <c r="B73" s="163" t="s">
        <v>163</v>
      </c>
      <c r="C73" s="143"/>
      <c r="D73" s="203"/>
      <c r="E73" s="229"/>
      <c r="F73" s="143"/>
      <c r="G73" s="204"/>
      <c r="H73" s="144"/>
      <c r="I73" s="192"/>
      <c r="J73" s="206"/>
      <c r="K73" s="172"/>
    </row>
    <row r="74" spans="1:11" ht="15">
      <c r="A74" s="172"/>
      <c r="B74" s="202" t="s">
        <v>164</v>
      </c>
      <c r="C74" s="143">
        <f>C57</f>
        <v>2263.3366495046253</v>
      </c>
      <c r="D74" s="203"/>
      <c r="E74" s="229">
        <v>0.024</v>
      </c>
      <c r="F74" s="143">
        <f>ROUNDDOWN($C74*E74,2)</f>
        <v>54.32</v>
      </c>
      <c r="G74" s="204"/>
      <c r="H74" s="144"/>
      <c r="I74" s="192"/>
      <c r="J74" s="206">
        <f>E74+G74</f>
        <v>0.024</v>
      </c>
      <c r="K74" s="172"/>
    </row>
    <row r="75" spans="1:11" ht="15">
      <c r="A75" s="172"/>
      <c r="B75" s="202" t="s">
        <v>165</v>
      </c>
      <c r="C75" s="143">
        <f>C57</f>
        <v>2263.3366495046253</v>
      </c>
      <c r="D75" s="203"/>
      <c r="E75" s="229">
        <v>0.005</v>
      </c>
      <c r="F75" s="143">
        <f>ROUNDDOWN($C75*E75,2)</f>
        <v>11.31</v>
      </c>
      <c r="G75" s="204"/>
      <c r="H75" s="144"/>
      <c r="I75" s="192"/>
      <c r="J75" s="206">
        <f>E75+G75</f>
        <v>0.005</v>
      </c>
      <c r="K75" s="172"/>
    </row>
    <row r="76" spans="1:11" ht="15">
      <c r="A76" s="172"/>
      <c r="B76" s="230" t="s">
        <v>166</v>
      </c>
      <c r="C76" s="150">
        <v>0</v>
      </c>
      <c r="D76" s="231"/>
      <c r="E76" s="232">
        <v>3.5</v>
      </c>
      <c r="F76" s="143">
        <f>C76*E76</f>
        <v>0</v>
      </c>
      <c r="G76" s="204"/>
      <c r="H76" s="144"/>
      <c r="I76" s="192"/>
      <c r="J76" s="206"/>
      <c r="K76" s="172"/>
    </row>
    <row r="77" spans="1:11" ht="15">
      <c r="A77" s="172"/>
      <c r="B77" s="230" t="s">
        <v>167</v>
      </c>
      <c r="C77" s="151"/>
      <c r="D77" s="233"/>
      <c r="E77" s="234"/>
      <c r="F77" s="145">
        <v>0</v>
      </c>
      <c r="G77" s="204"/>
      <c r="H77" s="144"/>
      <c r="I77" s="192"/>
      <c r="J77" s="206"/>
      <c r="K77" s="172"/>
    </row>
    <row r="78" spans="1:11" ht="15">
      <c r="A78" s="172"/>
      <c r="B78" s="230" t="s">
        <v>168</v>
      </c>
      <c r="C78" s="151"/>
      <c r="D78" s="233"/>
      <c r="E78" s="234"/>
      <c r="F78" s="145">
        <v>0</v>
      </c>
      <c r="G78" s="204"/>
      <c r="H78" s="144"/>
      <c r="I78" s="192"/>
      <c r="J78" s="206"/>
      <c r="K78" s="172"/>
    </row>
    <row r="79" spans="1:11" ht="15">
      <c r="A79" s="172"/>
      <c r="B79" s="207" t="s">
        <v>169</v>
      </c>
      <c r="C79" s="151"/>
      <c r="D79" s="233"/>
      <c r="E79" s="234"/>
      <c r="F79" s="143"/>
      <c r="G79" s="204"/>
      <c r="H79" s="144"/>
      <c r="I79" s="192"/>
      <c r="J79" s="206"/>
      <c r="K79" s="172"/>
    </row>
    <row r="80" spans="1:11" ht="15">
      <c r="A80" s="172"/>
      <c r="B80" s="230" t="s">
        <v>170</v>
      </c>
      <c r="C80" s="152">
        <v>0</v>
      </c>
      <c r="D80" s="203"/>
      <c r="E80" s="232">
        <v>4.57</v>
      </c>
      <c r="F80" s="143">
        <f>-C80*E80</f>
        <v>0</v>
      </c>
      <c r="G80" s="204"/>
      <c r="H80" s="144"/>
      <c r="I80" s="192"/>
      <c r="J80" s="206"/>
      <c r="K80" s="172"/>
    </row>
    <row r="81" spans="1:11" ht="15">
      <c r="A81" s="172"/>
      <c r="B81" s="230" t="s">
        <v>168</v>
      </c>
      <c r="C81" s="143"/>
      <c r="D81" s="203"/>
      <c r="E81" s="229"/>
      <c r="F81" s="145">
        <v>0</v>
      </c>
      <c r="G81" s="204"/>
      <c r="H81" s="144"/>
      <c r="I81" s="192"/>
      <c r="J81" s="206"/>
      <c r="K81" s="172"/>
    </row>
    <row r="82" spans="1:11" ht="15">
      <c r="A82" s="172"/>
      <c r="B82" s="235"/>
      <c r="C82" s="143"/>
      <c r="D82" s="203"/>
      <c r="E82" s="229"/>
      <c r="F82" s="153"/>
      <c r="G82" s="204"/>
      <c r="H82" s="144"/>
      <c r="I82" s="192"/>
      <c r="J82" s="206"/>
      <c r="K82" s="172"/>
    </row>
    <row r="83" spans="1:11" ht="15">
      <c r="A83" s="172"/>
      <c r="B83" s="224" t="s">
        <v>161</v>
      </c>
      <c r="C83" s="148"/>
      <c r="D83" s="225"/>
      <c r="E83" s="208"/>
      <c r="F83" s="148">
        <f>-brut_TEPA2</f>
        <v>0</v>
      </c>
      <c r="G83" s="204"/>
      <c r="H83" s="144"/>
      <c r="I83" s="192"/>
      <c r="J83" s="206"/>
      <c r="K83" s="172"/>
    </row>
    <row r="84" spans="1:11" ht="15.75" thickBot="1">
      <c r="A84" s="172"/>
      <c r="B84" s="236"/>
      <c r="C84" s="154"/>
      <c r="D84" s="237"/>
      <c r="E84" s="238"/>
      <c r="F84" s="154"/>
      <c r="G84" s="239"/>
      <c r="H84" s="144"/>
      <c r="I84" s="192"/>
      <c r="J84" s="240"/>
      <c r="K84" s="172"/>
    </row>
    <row r="85" spans="1:11" ht="15.75" thickBot="1">
      <c r="A85" s="172"/>
      <c r="B85" s="351" t="s">
        <v>171</v>
      </c>
      <c r="C85" s="351"/>
      <c r="D85" s="351"/>
      <c r="E85" s="351"/>
      <c r="F85" s="351"/>
      <c r="G85" s="352"/>
      <c r="H85" s="241">
        <f>ROUNDDOWN(BRUT_TOTAL2-F67-SUM(F74:F78)-SUM(F80:F82),2)</f>
        <v>1809.18</v>
      </c>
      <c r="I85" s="242"/>
      <c r="J85" s="175"/>
      <c r="K85" s="172"/>
    </row>
    <row r="86" spans="1:11" ht="15.75" thickBot="1">
      <c r="A86" s="172"/>
      <c r="B86" s="172"/>
      <c r="C86" s="173"/>
      <c r="D86" s="173"/>
      <c r="E86" s="174"/>
      <c r="F86" s="173"/>
      <c r="G86" s="174"/>
      <c r="H86" s="243"/>
      <c r="I86" s="243"/>
      <c r="J86" s="175"/>
      <c r="K86" s="172"/>
    </row>
    <row r="87" spans="1:11" ht="21" thickBot="1">
      <c r="A87" s="172"/>
      <c r="B87" s="172"/>
      <c r="C87" s="173"/>
      <c r="D87" s="173"/>
      <c r="E87" s="174"/>
      <c r="F87" s="244"/>
      <c r="G87" s="245" t="s">
        <v>172</v>
      </c>
      <c r="H87" s="246">
        <f>Net</f>
        <v>1809.18</v>
      </c>
      <c r="I87" s="247"/>
      <c r="J87" s="248"/>
      <c r="K87" s="172"/>
    </row>
    <row r="88" spans="1:11" ht="15">
      <c r="A88" s="172"/>
      <c r="B88" s="172"/>
      <c r="C88" s="173"/>
      <c r="D88" s="173"/>
      <c r="E88" s="174"/>
      <c r="F88" s="173"/>
      <c r="G88" s="174"/>
      <c r="H88" s="173"/>
      <c r="I88" s="173"/>
      <c r="J88" s="175"/>
      <c r="K88" s="172"/>
    </row>
    <row r="89" spans="1:11" ht="15">
      <c r="A89" s="172"/>
      <c r="B89" s="172"/>
      <c r="C89" s="173"/>
      <c r="D89" s="173"/>
      <c r="E89" s="174"/>
      <c r="F89" s="244"/>
      <c r="G89" s="174"/>
      <c r="H89" s="173"/>
      <c r="I89" s="173"/>
      <c r="J89" s="175"/>
      <c r="K89" s="172"/>
    </row>
    <row r="90" spans="1:11" ht="15.75" thickBot="1">
      <c r="A90" s="172"/>
      <c r="B90" s="172"/>
      <c r="C90" s="173"/>
      <c r="D90" s="173"/>
      <c r="E90" s="174"/>
      <c r="F90" s="249"/>
      <c r="G90" s="250"/>
      <c r="H90" s="251"/>
      <c r="I90" s="251"/>
      <c r="J90" s="252"/>
      <c r="K90" s="253"/>
    </row>
    <row r="91" spans="1:11" ht="15.75" thickBot="1">
      <c r="A91" s="172"/>
      <c r="B91" s="172"/>
      <c r="C91" s="173"/>
      <c r="D91" s="173"/>
      <c r="E91" s="174"/>
      <c r="F91" s="254"/>
      <c r="G91" s="255" t="s">
        <v>173</v>
      </c>
      <c r="H91" s="241">
        <f>H67-F80-F81</f>
        <v>930.9700000000001</v>
      </c>
      <c r="I91" s="242"/>
      <c r="J91" s="256"/>
      <c r="K91" s="253"/>
    </row>
    <row r="92" spans="1:11" ht="15.75" thickBot="1">
      <c r="A92" s="172"/>
      <c r="B92" s="172"/>
      <c r="C92" s="173"/>
      <c r="D92" s="173"/>
      <c r="E92" s="174"/>
      <c r="F92" s="254"/>
      <c r="G92" s="257" t="s">
        <v>174</v>
      </c>
      <c r="H92" s="258">
        <f>SUM(H28:H55)+H59+H65-F80-F81</f>
        <v>930.9700000000001</v>
      </c>
      <c r="I92" s="259"/>
      <c r="J92" s="260"/>
      <c r="K92" s="261"/>
    </row>
    <row r="93" spans="1:11" ht="15.75" thickBot="1">
      <c r="A93" s="172"/>
      <c r="B93" s="172"/>
      <c r="C93" s="173"/>
      <c r="D93" s="173"/>
      <c r="E93" s="174"/>
      <c r="F93" s="254"/>
      <c r="G93" s="257" t="s">
        <v>175</v>
      </c>
      <c r="H93" s="258">
        <f>SUM(H62:H64)</f>
        <v>0</v>
      </c>
      <c r="I93" s="259"/>
      <c r="J93" s="260"/>
      <c r="K93" s="261"/>
    </row>
    <row r="94" spans="1:11" ht="15.75" thickBot="1">
      <c r="A94" s="172"/>
      <c r="B94" s="172"/>
      <c r="C94" s="173"/>
      <c r="D94" s="173"/>
      <c r="E94" s="174"/>
      <c r="F94" s="254"/>
      <c r="G94" s="257"/>
      <c r="H94" s="259"/>
      <c r="I94" s="259"/>
      <c r="J94" s="260"/>
      <c r="K94" s="261"/>
    </row>
    <row r="95" spans="1:11" ht="15.75" thickBot="1">
      <c r="A95" s="172"/>
      <c r="B95" s="172"/>
      <c r="C95" s="173"/>
      <c r="D95" s="173"/>
      <c r="E95" s="174"/>
      <c r="F95" s="254"/>
      <c r="G95" s="255" t="s">
        <v>176</v>
      </c>
      <c r="H95" s="262">
        <f>H91/BRUT_TOTAL2</f>
        <v>0.3989865582734447</v>
      </c>
      <c r="I95" s="261"/>
      <c r="J95" s="260"/>
      <c r="K95" s="261"/>
    </row>
    <row r="96" spans="1:11" ht="15.75" thickBot="1">
      <c r="A96" s="172"/>
      <c r="B96" s="172"/>
      <c r="C96" s="173"/>
      <c r="D96" s="173"/>
      <c r="E96" s="174"/>
      <c r="F96" s="254"/>
      <c r="G96" s="257"/>
      <c r="H96" s="259"/>
      <c r="I96" s="259"/>
      <c r="J96" s="260"/>
      <c r="K96" s="261"/>
    </row>
    <row r="97" spans="1:11" ht="15.75" thickBot="1">
      <c r="A97" s="172"/>
      <c r="B97" s="172"/>
      <c r="C97" s="173"/>
      <c r="D97" s="173"/>
      <c r="E97" s="174"/>
      <c r="F97" s="254"/>
      <c r="G97" s="255" t="s">
        <v>177</v>
      </c>
      <c r="H97" s="241">
        <f>BRUT_TOTAL2+H67-F80</f>
        <v>3264.306752066624</v>
      </c>
      <c r="I97" s="242"/>
      <c r="J97" s="260"/>
      <c r="K97" s="261"/>
    </row>
    <row r="98" spans="1:11" ht="15">
      <c r="A98" s="172"/>
      <c r="B98" s="172"/>
      <c r="C98" s="173"/>
      <c r="D98" s="173"/>
      <c r="E98" s="174"/>
      <c r="F98" s="254"/>
      <c r="G98" s="257"/>
      <c r="H98" s="259"/>
      <c r="I98" s="259"/>
      <c r="J98" s="260"/>
      <c r="K98" s="261"/>
    </row>
    <row r="99" spans="1:11" ht="15.75" thickBot="1">
      <c r="A99" s="172"/>
      <c r="B99" s="172"/>
      <c r="C99" s="173"/>
      <c r="D99" s="173"/>
      <c r="E99" s="174"/>
      <c r="F99" s="254"/>
      <c r="G99" s="141"/>
      <c r="H99" s="140"/>
      <c r="I99" s="140"/>
      <c r="J99" s="256"/>
      <c r="K99" s="253"/>
    </row>
    <row r="100" spans="1:11" ht="15.75" thickBot="1">
      <c r="A100" s="172"/>
      <c r="B100" s="172"/>
      <c r="C100" s="173"/>
      <c r="D100" s="173"/>
      <c r="E100" s="174"/>
      <c r="F100" s="254"/>
      <c r="G100" s="255" t="s">
        <v>178</v>
      </c>
      <c r="H100" s="241">
        <f>BRUT_TOTAL2-Net</f>
        <v>524.1567520666238</v>
      </c>
      <c r="I100" s="242"/>
      <c r="J100" s="263"/>
      <c r="K100" s="253"/>
    </row>
    <row r="101" spans="1:11" ht="15.75" thickBot="1">
      <c r="A101" s="172"/>
      <c r="B101" s="172"/>
      <c r="C101" s="173"/>
      <c r="D101" s="173"/>
      <c r="E101" s="174"/>
      <c r="F101" s="254"/>
      <c r="G101" s="255"/>
      <c r="H101" s="242"/>
      <c r="I101" s="242"/>
      <c r="J101" s="260"/>
      <c r="K101" s="261"/>
    </row>
    <row r="102" spans="1:11" ht="15.75" thickBot="1">
      <c r="A102" s="172"/>
      <c r="B102" s="172"/>
      <c r="C102" s="173"/>
      <c r="D102" s="173"/>
      <c r="E102" s="174"/>
      <c r="F102" s="254"/>
      <c r="G102" s="255" t="s">
        <v>179</v>
      </c>
      <c r="H102" s="262">
        <f>H100/BRUT_TOTAL2</f>
        <v>0.22463827889496918</v>
      </c>
      <c r="I102" s="261"/>
      <c r="J102" s="260"/>
      <c r="K102" s="261"/>
    </row>
    <row r="103" spans="1:11" ht="15.75" thickBot="1">
      <c r="A103" s="172"/>
      <c r="B103" s="172"/>
      <c r="C103" s="173"/>
      <c r="D103" s="173"/>
      <c r="E103" s="174"/>
      <c r="F103" s="254"/>
      <c r="G103" s="141"/>
      <c r="H103" s="140"/>
      <c r="I103" s="140"/>
      <c r="J103" s="256"/>
      <c r="K103" s="253"/>
    </row>
    <row r="104" spans="1:11" ht="15.75" thickBot="1">
      <c r="A104" s="172"/>
      <c r="B104" s="172"/>
      <c r="C104" s="173"/>
      <c r="D104" s="173"/>
      <c r="E104" s="174"/>
      <c r="F104" s="254"/>
      <c r="G104" s="255" t="s">
        <v>180</v>
      </c>
      <c r="H104" s="241">
        <f>H91+H100</f>
        <v>1455.1267520666238</v>
      </c>
      <c r="I104" s="242"/>
      <c r="J104" s="256"/>
      <c r="K104" s="253"/>
    </row>
    <row r="105" spans="1:11" ht="15">
      <c r="A105" s="172"/>
      <c r="B105" s="172"/>
      <c r="C105" s="173"/>
      <c r="D105" s="173"/>
      <c r="E105" s="174"/>
      <c r="F105" s="264"/>
      <c r="G105" s="265"/>
      <c r="H105" s="266"/>
      <c r="I105" s="266"/>
      <c r="J105" s="267"/>
      <c r="K105" s="253"/>
    </row>
    <row r="106" spans="1:11" ht="15">
      <c r="A106" s="172"/>
      <c r="B106" s="172"/>
      <c r="C106" s="173"/>
      <c r="D106" s="173"/>
      <c r="E106" s="174"/>
      <c r="F106" s="173"/>
      <c r="G106" s="174"/>
      <c r="H106" s="173"/>
      <c r="I106" s="173"/>
      <c r="J106" s="175"/>
      <c r="K106" s="172"/>
    </row>
    <row r="107" spans="1:11" ht="15">
      <c r="A107" s="172"/>
      <c r="B107" s="172"/>
      <c r="C107" s="173"/>
      <c r="D107" s="173"/>
      <c r="E107" s="174"/>
      <c r="F107" s="173"/>
      <c r="G107" s="169" t="s">
        <v>181</v>
      </c>
      <c r="H107" s="169" t="s">
        <v>182</v>
      </c>
      <c r="I107" s="173"/>
      <c r="J107" s="175"/>
      <c r="K107" s="172"/>
    </row>
    <row r="108" spans="1:11" ht="15">
      <c r="A108" s="172"/>
      <c r="B108" s="172"/>
      <c r="C108" s="173"/>
      <c r="D108" s="173"/>
      <c r="E108" s="174"/>
      <c r="F108" s="173"/>
      <c r="G108" s="268">
        <f>IF(0.281/0.6*((1.6*(C20*151.67*(C9/C10))/BRUT_TOTAL2)-1)&gt;0,IF(0.281/0.6*((1.6*(C20*151.67*(C9/C10))/BRUT_TOTAL2)-1)&lt;0.281,0.281/0.6*((1.6*(C20*151.67*(C9/C10))/BRUT_TOTAL2)-1),0.281),0)</f>
        <v>0</v>
      </c>
      <c r="H108" s="268">
        <f>IF(0.26/0.6*((1.6*(C20*151.67*(C9/C10))/BRUT_TOTAL2)-1)&gt;0,IF(0.26/0.6*((1.6*(C20*151.67*(C9/C10))/BRUT_TOTAL2)-1)&lt;0.26,0.26/0.6*((1.6*(C20*151.67*(C9/C10))/BRUT_TOTAL2)-1),0.26),0)</f>
        <v>0</v>
      </c>
      <c r="I108" s="173"/>
      <c r="J108" s="175"/>
      <c r="K108" s="172"/>
    </row>
    <row r="109" spans="1:11" ht="15">
      <c r="A109" s="172"/>
      <c r="B109" s="172"/>
      <c r="C109" s="173"/>
      <c r="D109" s="173"/>
      <c r="E109" s="174"/>
      <c r="F109" s="173"/>
      <c r="G109" s="174"/>
      <c r="H109" s="173"/>
      <c r="I109" s="173"/>
      <c r="J109" s="175"/>
      <c r="K109" s="172"/>
    </row>
    <row r="110" spans="1:11" ht="15">
      <c r="A110" s="172"/>
      <c r="B110" s="172"/>
      <c r="C110" s="173"/>
      <c r="D110" s="173"/>
      <c r="E110" s="174"/>
      <c r="F110" s="173"/>
      <c r="G110" s="174"/>
      <c r="H110" s="173"/>
      <c r="I110" s="173"/>
      <c r="J110" s="175"/>
      <c r="K110" s="172"/>
    </row>
    <row r="111" spans="1:11" ht="15">
      <c r="A111" s="172"/>
      <c r="B111" s="172"/>
      <c r="C111" s="173"/>
      <c r="D111" s="173"/>
      <c r="E111" s="174"/>
      <c r="F111" s="173"/>
      <c r="G111" s="174"/>
      <c r="H111" s="173"/>
      <c r="I111" s="173"/>
      <c r="J111" s="175"/>
      <c r="K111" s="172"/>
    </row>
    <row r="112" spans="1:11" ht="15">
      <c r="A112" s="172"/>
      <c r="B112" s="172"/>
      <c r="C112" s="173"/>
      <c r="D112" s="173"/>
      <c r="E112" s="174"/>
      <c r="F112" s="173"/>
      <c r="G112" s="174"/>
      <c r="H112" s="173"/>
      <c r="I112" s="173"/>
      <c r="J112" s="175"/>
      <c r="K112" s="172"/>
    </row>
    <row r="113" spans="1:11" ht="15">
      <c r="A113" s="172"/>
      <c r="B113" s="172"/>
      <c r="C113" s="173"/>
      <c r="D113" s="173"/>
      <c r="E113" s="174"/>
      <c r="F113" s="173"/>
      <c r="G113" s="174"/>
      <c r="H113" s="173"/>
      <c r="I113" s="173"/>
      <c r="J113" s="175"/>
      <c r="K113" s="172"/>
    </row>
    <row r="114" spans="1:11" ht="15">
      <c r="A114" s="172"/>
      <c r="B114" s="172"/>
      <c r="C114" s="173"/>
      <c r="D114" s="173"/>
      <c r="E114" s="174"/>
      <c r="F114" s="173"/>
      <c r="G114" s="174"/>
      <c r="H114" s="173"/>
      <c r="I114" s="173"/>
      <c r="J114" s="175"/>
      <c r="K114" s="172"/>
    </row>
    <row r="115" spans="1:11" ht="15">
      <c r="A115" s="172"/>
      <c r="B115" s="172"/>
      <c r="C115" s="173"/>
      <c r="D115" s="173"/>
      <c r="E115" s="174"/>
      <c r="F115" s="173"/>
      <c r="G115" s="174"/>
      <c r="H115" s="173"/>
      <c r="I115" s="173"/>
      <c r="J115" s="175"/>
      <c r="K115" s="172"/>
    </row>
    <row r="116" spans="1:11" ht="15">
      <c r="A116" s="172"/>
      <c r="B116" s="172"/>
      <c r="C116" s="173"/>
      <c r="D116" s="173"/>
      <c r="E116" s="174"/>
      <c r="F116" s="173"/>
      <c r="G116" s="174"/>
      <c r="H116" s="173"/>
      <c r="I116" s="173"/>
      <c r="J116" s="175"/>
      <c r="K116" s="172"/>
    </row>
    <row r="117" spans="1:11" ht="15">
      <c r="A117" s="172"/>
      <c r="B117" s="172"/>
      <c r="C117" s="173"/>
      <c r="D117" s="173"/>
      <c r="E117" s="174"/>
      <c r="F117" s="173"/>
      <c r="G117" s="174"/>
      <c r="H117" s="173"/>
      <c r="I117" s="173"/>
      <c r="J117" s="175"/>
      <c r="K117" s="172"/>
    </row>
    <row r="118" spans="1:11" ht="15">
      <c r="A118" s="172"/>
      <c r="B118" s="172"/>
      <c r="C118" s="173"/>
      <c r="D118" s="173"/>
      <c r="E118" s="174"/>
      <c r="F118" s="173"/>
      <c r="G118" s="174"/>
      <c r="H118" s="173"/>
      <c r="I118" s="173"/>
      <c r="J118" s="175"/>
      <c r="K118" s="172"/>
    </row>
    <row r="119" spans="1:11" ht="15">
      <c r="A119" s="172"/>
      <c r="B119" s="172"/>
      <c r="C119" s="173"/>
      <c r="D119" s="173"/>
      <c r="E119" s="174"/>
      <c r="F119" s="173"/>
      <c r="G119" s="174"/>
      <c r="H119" s="173"/>
      <c r="I119" s="173"/>
      <c r="J119" s="175"/>
      <c r="K119" s="172"/>
    </row>
    <row r="120" spans="1:11" ht="15">
      <c r="A120" s="172"/>
      <c r="B120" s="172"/>
      <c r="C120" s="173"/>
      <c r="D120" s="173"/>
      <c r="E120" s="174"/>
      <c r="F120" s="173"/>
      <c r="G120" s="174"/>
      <c r="H120" s="173"/>
      <c r="I120" s="173"/>
      <c r="J120" s="175"/>
      <c r="K120" s="172"/>
    </row>
    <row r="121" spans="1:11" ht="15">
      <c r="A121" s="172"/>
      <c r="B121" s="172"/>
      <c r="C121" s="173"/>
      <c r="D121" s="173"/>
      <c r="E121" s="174"/>
      <c r="F121" s="173"/>
      <c r="G121" s="174"/>
      <c r="H121" s="173"/>
      <c r="I121" s="173"/>
      <c r="J121" s="175"/>
      <c r="K121" s="172"/>
    </row>
    <row r="122" spans="1:11" ht="15">
      <c r="A122" s="172"/>
      <c r="B122" s="172"/>
      <c r="C122" s="173"/>
      <c r="D122" s="173"/>
      <c r="E122" s="174"/>
      <c r="F122" s="173"/>
      <c r="G122" s="174"/>
      <c r="H122" s="173"/>
      <c r="I122" s="173"/>
      <c r="J122" s="175"/>
      <c r="K122" s="172"/>
    </row>
    <row r="123" spans="1:11" ht="15">
      <c r="A123" s="172"/>
      <c r="B123" s="172"/>
      <c r="C123" s="173"/>
      <c r="D123" s="173"/>
      <c r="E123" s="174"/>
      <c r="F123" s="173"/>
      <c r="G123" s="174"/>
      <c r="H123" s="173"/>
      <c r="I123" s="173"/>
      <c r="J123" s="175"/>
      <c r="K123" s="172"/>
    </row>
    <row r="124" spans="1:11" ht="15">
      <c r="A124" s="172"/>
      <c r="B124" s="172"/>
      <c r="C124" s="173"/>
      <c r="D124" s="173"/>
      <c r="E124" s="174"/>
      <c r="F124" s="173"/>
      <c r="G124" s="174"/>
      <c r="H124" s="173"/>
      <c r="I124" s="173"/>
      <c r="J124" s="175"/>
      <c r="K124" s="172"/>
    </row>
    <row r="125" spans="1:11" ht="15">
      <c r="A125" s="172"/>
      <c r="B125" s="172"/>
      <c r="C125" s="173"/>
      <c r="D125" s="173"/>
      <c r="E125" s="174"/>
      <c r="F125" s="173"/>
      <c r="G125" s="174"/>
      <c r="H125" s="173"/>
      <c r="I125" s="173"/>
      <c r="J125" s="175"/>
      <c r="K125" s="172"/>
    </row>
    <row r="126" spans="1:11" ht="15">
      <c r="A126" s="172"/>
      <c r="B126" s="172"/>
      <c r="C126" s="173"/>
      <c r="D126" s="173"/>
      <c r="E126" s="174"/>
      <c r="F126" s="173"/>
      <c r="G126" s="174"/>
      <c r="H126" s="173"/>
      <c r="I126" s="173"/>
      <c r="J126" s="175"/>
      <c r="K126" s="172"/>
    </row>
    <row r="127" spans="1:11" ht="15">
      <c r="A127" s="172"/>
      <c r="B127" s="172"/>
      <c r="C127" s="173"/>
      <c r="D127" s="173"/>
      <c r="E127" s="174"/>
      <c r="F127" s="173"/>
      <c r="G127" s="174"/>
      <c r="H127" s="173"/>
      <c r="I127" s="173"/>
      <c r="J127" s="175"/>
      <c r="K127" s="172"/>
    </row>
    <row r="128" spans="1:11" ht="15">
      <c r="A128" s="172"/>
      <c r="B128" s="172"/>
      <c r="C128" s="173"/>
      <c r="D128" s="173"/>
      <c r="E128" s="174"/>
      <c r="F128" s="173"/>
      <c r="G128" s="174"/>
      <c r="H128" s="173"/>
      <c r="I128" s="173"/>
      <c r="J128" s="175"/>
      <c r="K128" s="172"/>
    </row>
    <row r="129" spans="1:11" ht="15">
      <c r="A129" s="172"/>
      <c r="B129" s="172"/>
      <c r="C129" s="173"/>
      <c r="D129" s="173"/>
      <c r="E129" s="174"/>
      <c r="F129" s="173"/>
      <c r="G129" s="174"/>
      <c r="H129" s="173"/>
      <c r="I129" s="173"/>
      <c r="J129" s="175"/>
      <c r="K129" s="172"/>
    </row>
    <row r="130" spans="1:11" ht="15">
      <c r="A130" s="172"/>
      <c r="B130" s="172"/>
      <c r="C130" s="173"/>
      <c r="D130" s="173"/>
      <c r="E130" s="174"/>
      <c r="F130" s="173"/>
      <c r="G130" s="174"/>
      <c r="H130" s="173"/>
      <c r="I130" s="173"/>
      <c r="J130" s="175"/>
      <c r="K130" s="172"/>
    </row>
    <row r="131" spans="1:11" ht="15">
      <c r="A131" s="172"/>
      <c r="B131" s="172"/>
      <c r="C131" s="173"/>
      <c r="D131" s="173"/>
      <c r="E131" s="174"/>
      <c r="F131" s="173"/>
      <c r="G131" s="174"/>
      <c r="H131" s="173"/>
      <c r="I131" s="173"/>
      <c r="J131" s="175"/>
      <c r="K131" s="172"/>
    </row>
    <row r="132" spans="1:11" ht="15">
      <c r="A132" s="172"/>
      <c r="B132" s="172"/>
      <c r="C132" s="173"/>
      <c r="D132" s="173"/>
      <c r="E132" s="174"/>
      <c r="F132" s="173"/>
      <c r="G132" s="174"/>
      <c r="H132" s="173"/>
      <c r="I132" s="173"/>
      <c r="J132" s="175"/>
      <c r="K132" s="172"/>
    </row>
    <row r="133" spans="1:11" ht="15">
      <c r="A133" s="172"/>
      <c r="B133" s="172"/>
      <c r="C133" s="173"/>
      <c r="D133" s="173"/>
      <c r="E133" s="174"/>
      <c r="F133" s="173"/>
      <c r="G133" s="174"/>
      <c r="H133" s="173"/>
      <c r="I133" s="173"/>
      <c r="J133" s="175"/>
      <c r="K133" s="172"/>
    </row>
    <row r="134" spans="1:11" ht="15">
      <c r="A134" s="172"/>
      <c r="B134" s="172"/>
      <c r="C134" s="173"/>
      <c r="D134" s="173"/>
      <c r="E134" s="174"/>
      <c r="F134" s="173"/>
      <c r="G134" s="174"/>
      <c r="H134" s="173"/>
      <c r="I134" s="173"/>
      <c r="J134" s="175"/>
      <c r="K134" s="172"/>
    </row>
    <row r="135" spans="1:11" ht="15">
      <c r="A135" s="172"/>
      <c r="B135" s="172"/>
      <c r="C135" s="173"/>
      <c r="D135" s="173"/>
      <c r="E135" s="174"/>
      <c r="F135" s="173"/>
      <c r="G135" s="174"/>
      <c r="H135" s="173"/>
      <c r="I135" s="173"/>
      <c r="J135" s="175"/>
      <c r="K135" s="172"/>
    </row>
    <row r="136" spans="1:11" ht="15">
      <c r="A136" s="172"/>
      <c r="B136" s="172"/>
      <c r="C136" s="173"/>
      <c r="D136" s="173"/>
      <c r="E136" s="174"/>
      <c r="F136" s="173"/>
      <c r="G136" s="174"/>
      <c r="H136" s="173"/>
      <c r="I136" s="173"/>
      <c r="J136" s="175"/>
      <c r="K136" s="172"/>
    </row>
    <row r="137" spans="1:11" ht="15">
      <c r="A137" s="172"/>
      <c r="B137" s="172"/>
      <c r="C137" s="173"/>
      <c r="D137" s="173"/>
      <c r="E137" s="174"/>
      <c r="F137" s="173"/>
      <c r="G137" s="174"/>
      <c r="H137" s="173"/>
      <c r="I137" s="173"/>
      <c r="J137" s="175"/>
      <c r="K137" s="172"/>
    </row>
    <row r="138" spans="1:11" ht="15">
      <c r="A138" s="172"/>
      <c r="B138" s="172"/>
      <c r="C138" s="173"/>
      <c r="D138" s="173"/>
      <c r="E138" s="174"/>
      <c r="F138" s="173"/>
      <c r="G138" s="174"/>
      <c r="H138" s="173"/>
      <c r="I138" s="173"/>
      <c r="J138" s="175"/>
      <c r="K138" s="172"/>
    </row>
    <row r="139" spans="1:11" ht="15">
      <c r="A139" s="172"/>
      <c r="B139" s="172"/>
      <c r="C139" s="173"/>
      <c r="D139" s="173"/>
      <c r="E139" s="174"/>
      <c r="F139" s="173"/>
      <c r="G139" s="174"/>
      <c r="H139" s="173"/>
      <c r="I139" s="173"/>
      <c r="J139" s="175"/>
      <c r="K139" s="172"/>
    </row>
    <row r="140" spans="1:11" ht="15">
      <c r="A140" s="172"/>
      <c r="B140" s="172"/>
      <c r="C140" s="173"/>
      <c r="D140" s="173"/>
      <c r="E140" s="174"/>
      <c r="F140" s="173"/>
      <c r="G140" s="174"/>
      <c r="H140" s="173"/>
      <c r="I140" s="173"/>
      <c r="J140" s="175"/>
      <c r="K140" s="172"/>
    </row>
    <row r="141" spans="1:11" ht="15">
      <c r="A141" s="172"/>
      <c r="B141" s="172"/>
      <c r="C141" s="173"/>
      <c r="D141" s="173"/>
      <c r="E141" s="174"/>
      <c r="F141" s="173"/>
      <c r="G141" s="174"/>
      <c r="H141" s="173"/>
      <c r="I141" s="173"/>
      <c r="J141" s="175"/>
      <c r="K141" s="172"/>
    </row>
    <row r="142" spans="1:11" ht="15">
      <c r="A142" s="172"/>
      <c r="B142" s="172"/>
      <c r="C142" s="173"/>
      <c r="D142" s="173"/>
      <c r="E142" s="174"/>
      <c r="F142" s="173"/>
      <c r="G142" s="174"/>
      <c r="H142" s="173"/>
      <c r="I142" s="173"/>
      <c r="J142" s="175"/>
      <c r="K142" s="172"/>
    </row>
    <row r="143" spans="1:11" ht="15">
      <c r="A143" s="172"/>
      <c r="B143" s="172"/>
      <c r="C143" s="173"/>
      <c r="D143" s="173"/>
      <c r="E143" s="174"/>
      <c r="F143" s="173"/>
      <c r="G143" s="174"/>
      <c r="H143" s="173"/>
      <c r="I143" s="173"/>
      <c r="J143" s="175"/>
      <c r="K143" s="172"/>
    </row>
    <row r="144" spans="1:11" ht="15">
      <c r="A144" s="172"/>
      <c r="B144" s="172"/>
      <c r="C144" s="173"/>
      <c r="D144" s="173"/>
      <c r="E144" s="174"/>
      <c r="F144" s="173"/>
      <c r="G144" s="174"/>
      <c r="H144" s="173"/>
      <c r="I144" s="173"/>
      <c r="J144" s="175"/>
      <c r="K144" s="172"/>
    </row>
    <row r="145" spans="1:11" ht="15">
      <c r="A145" s="172"/>
      <c r="B145" s="172"/>
      <c r="C145" s="173"/>
      <c r="D145" s="173"/>
      <c r="E145" s="174"/>
      <c r="F145" s="173"/>
      <c r="G145" s="174"/>
      <c r="H145" s="173"/>
      <c r="I145" s="173"/>
      <c r="J145" s="175"/>
      <c r="K145" s="172"/>
    </row>
    <row r="146" spans="1:11" ht="15">
      <c r="A146" s="172"/>
      <c r="B146" s="172"/>
      <c r="C146" s="173"/>
      <c r="D146" s="173"/>
      <c r="E146" s="174"/>
      <c r="F146" s="173"/>
      <c r="G146" s="174"/>
      <c r="H146" s="173"/>
      <c r="I146" s="173"/>
      <c r="J146" s="175"/>
      <c r="K146" s="172"/>
    </row>
    <row r="147" spans="1:11" ht="15">
      <c r="A147" s="172"/>
      <c r="B147" s="172"/>
      <c r="C147" s="173"/>
      <c r="D147" s="173"/>
      <c r="E147" s="174"/>
      <c r="F147" s="173"/>
      <c r="G147" s="174"/>
      <c r="H147" s="173"/>
      <c r="I147" s="173"/>
      <c r="J147" s="175"/>
      <c r="K147" s="172"/>
    </row>
    <row r="148" spans="1:11" ht="15">
      <c r="A148" s="172"/>
      <c r="B148" s="172"/>
      <c r="C148" s="173"/>
      <c r="D148" s="173"/>
      <c r="E148" s="174"/>
      <c r="F148" s="173"/>
      <c r="G148" s="174"/>
      <c r="H148" s="173"/>
      <c r="I148" s="173"/>
      <c r="J148" s="175"/>
      <c r="K148" s="172"/>
    </row>
    <row r="149" spans="1:11" ht="15">
      <c r="A149" s="172"/>
      <c r="B149" s="172"/>
      <c r="C149" s="173"/>
      <c r="D149" s="173"/>
      <c r="E149" s="174"/>
      <c r="F149" s="173"/>
      <c r="G149" s="174"/>
      <c r="H149" s="173"/>
      <c r="I149" s="173"/>
      <c r="J149" s="175"/>
      <c r="K149" s="172"/>
    </row>
    <row r="150" spans="1:11" ht="15">
      <c r="A150" s="172"/>
      <c r="B150" s="172"/>
      <c r="C150" s="173"/>
      <c r="D150" s="173"/>
      <c r="E150" s="174"/>
      <c r="F150" s="173"/>
      <c r="G150" s="174"/>
      <c r="H150" s="173"/>
      <c r="I150" s="173"/>
      <c r="J150" s="175"/>
      <c r="K150" s="172"/>
    </row>
    <row r="151" spans="1:11" ht="15">
      <c r="A151" s="172"/>
      <c r="B151" s="172"/>
      <c r="C151" s="173"/>
      <c r="D151" s="173"/>
      <c r="E151" s="174"/>
      <c r="F151" s="173"/>
      <c r="G151" s="174"/>
      <c r="H151" s="173"/>
      <c r="I151" s="173"/>
      <c r="J151" s="175"/>
      <c r="K151" s="172"/>
    </row>
    <row r="152" spans="1:11" ht="15">
      <c r="A152" s="172"/>
      <c r="B152" s="172"/>
      <c r="C152" s="173"/>
      <c r="D152" s="173"/>
      <c r="E152" s="174"/>
      <c r="F152" s="173"/>
      <c r="G152" s="174"/>
      <c r="H152" s="173"/>
      <c r="I152" s="173"/>
      <c r="J152" s="175"/>
      <c r="K152" s="172"/>
    </row>
    <row r="153" spans="1:11" ht="15">
      <c r="A153" s="172"/>
      <c r="B153" s="172"/>
      <c r="C153" s="173"/>
      <c r="D153" s="173"/>
      <c r="E153" s="174"/>
      <c r="F153" s="173"/>
      <c r="G153" s="174"/>
      <c r="H153" s="173"/>
      <c r="I153" s="173"/>
      <c r="J153" s="175"/>
      <c r="K153" s="172"/>
    </row>
    <row r="154" spans="1:11" ht="15">
      <c r="A154" s="172"/>
      <c r="B154" s="172"/>
      <c r="C154" s="173"/>
      <c r="D154" s="173"/>
      <c r="E154" s="174"/>
      <c r="F154" s="173"/>
      <c r="G154" s="174"/>
      <c r="H154" s="173"/>
      <c r="I154" s="173"/>
      <c r="J154" s="175"/>
      <c r="K154" s="172"/>
    </row>
    <row r="155" spans="1:11" ht="15">
      <c r="A155" s="172"/>
      <c r="B155" s="172"/>
      <c r="C155" s="173"/>
      <c r="D155" s="173"/>
      <c r="E155" s="174"/>
      <c r="F155" s="173"/>
      <c r="G155" s="174"/>
      <c r="H155" s="173"/>
      <c r="I155" s="173"/>
      <c r="J155" s="175"/>
      <c r="K155" s="172"/>
    </row>
    <row r="156" spans="1:11" ht="15">
      <c r="A156" s="172"/>
      <c r="B156" s="172"/>
      <c r="C156" s="173"/>
      <c r="D156" s="173"/>
      <c r="E156" s="174"/>
      <c r="F156" s="173"/>
      <c r="G156" s="174"/>
      <c r="H156" s="173"/>
      <c r="I156" s="173"/>
      <c r="J156" s="175"/>
      <c r="K156" s="172"/>
    </row>
    <row r="157" spans="1:11" ht="15">
      <c r="A157" s="172"/>
      <c r="B157" s="172"/>
      <c r="C157" s="173"/>
      <c r="D157" s="173"/>
      <c r="E157" s="174"/>
      <c r="F157" s="173"/>
      <c r="G157" s="174"/>
      <c r="H157" s="173"/>
      <c r="I157" s="173"/>
      <c r="J157" s="175"/>
      <c r="K157" s="172"/>
    </row>
    <row r="158" spans="1:11" ht="15">
      <c r="A158" s="172"/>
      <c r="B158" s="172"/>
      <c r="C158" s="173"/>
      <c r="D158" s="173"/>
      <c r="E158" s="174"/>
      <c r="F158" s="173"/>
      <c r="G158" s="174"/>
      <c r="H158" s="173"/>
      <c r="I158" s="173"/>
      <c r="J158" s="175"/>
      <c r="K158" s="172"/>
    </row>
    <row r="159" spans="1:11" ht="15">
      <c r="A159" s="172"/>
      <c r="B159" s="172"/>
      <c r="C159" s="173"/>
      <c r="D159" s="173"/>
      <c r="E159" s="174"/>
      <c r="F159" s="173"/>
      <c r="G159" s="174"/>
      <c r="H159" s="173"/>
      <c r="I159" s="173"/>
      <c r="J159" s="175"/>
      <c r="K159" s="172"/>
    </row>
    <row r="160" spans="1:11" ht="15">
      <c r="A160" s="172"/>
      <c r="B160" s="172"/>
      <c r="C160" s="173"/>
      <c r="D160" s="173"/>
      <c r="E160" s="174"/>
      <c r="F160" s="173"/>
      <c r="G160" s="174"/>
      <c r="H160" s="173"/>
      <c r="I160" s="173"/>
      <c r="J160" s="175"/>
      <c r="K160" s="172"/>
    </row>
    <row r="161" spans="1:11" ht="15">
      <c r="A161" s="172"/>
      <c r="B161" s="172"/>
      <c r="C161" s="173"/>
      <c r="D161" s="173"/>
      <c r="E161" s="174"/>
      <c r="F161" s="173"/>
      <c r="G161" s="174"/>
      <c r="H161" s="173"/>
      <c r="I161" s="173"/>
      <c r="J161" s="175"/>
      <c r="K161" s="172"/>
    </row>
    <row r="162" spans="1:11" ht="15">
      <c r="A162" s="172"/>
      <c r="B162" s="172"/>
      <c r="C162" s="173"/>
      <c r="D162" s="173"/>
      <c r="E162" s="174"/>
      <c r="F162" s="173"/>
      <c r="G162" s="174"/>
      <c r="H162" s="173"/>
      <c r="I162" s="173"/>
      <c r="J162" s="175"/>
      <c r="K162" s="172"/>
    </row>
    <row r="163" spans="1:11" ht="15">
      <c r="A163" s="172"/>
      <c r="B163" s="172"/>
      <c r="C163" s="173"/>
      <c r="D163" s="173"/>
      <c r="E163" s="174"/>
      <c r="F163" s="173"/>
      <c r="G163" s="174"/>
      <c r="H163" s="173"/>
      <c r="I163" s="173"/>
      <c r="J163" s="175"/>
      <c r="K163" s="172"/>
    </row>
    <row r="164" spans="1:11" ht="15">
      <c r="A164" s="172"/>
      <c r="B164" s="172"/>
      <c r="C164" s="173"/>
      <c r="D164" s="173"/>
      <c r="E164" s="174"/>
      <c r="F164" s="173"/>
      <c r="G164" s="174"/>
      <c r="H164" s="173"/>
      <c r="I164" s="173"/>
      <c r="J164" s="175"/>
      <c r="K164" s="172"/>
    </row>
    <row r="165" spans="1:11" ht="15">
      <c r="A165" s="172"/>
      <c r="B165" s="172"/>
      <c r="C165" s="173"/>
      <c r="D165" s="173"/>
      <c r="E165" s="174"/>
      <c r="F165" s="173"/>
      <c r="G165" s="174"/>
      <c r="H165" s="173"/>
      <c r="I165" s="173"/>
      <c r="J165" s="175"/>
      <c r="K165" s="172"/>
    </row>
    <row r="166" spans="1:11" ht="15">
      <c r="A166" s="172"/>
      <c r="B166" s="172"/>
      <c r="C166" s="173"/>
      <c r="D166" s="173"/>
      <c r="E166" s="174"/>
      <c r="F166" s="173"/>
      <c r="G166" s="174"/>
      <c r="H166" s="173"/>
      <c r="I166" s="173"/>
      <c r="J166" s="175"/>
      <c r="K166" s="172"/>
    </row>
    <row r="167" spans="1:11" ht="15">
      <c r="A167" s="172"/>
      <c r="B167" s="172"/>
      <c r="C167" s="173"/>
      <c r="D167" s="173"/>
      <c r="E167" s="174"/>
      <c r="F167" s="173"/>
      <c r="G167" s="174"/>
      <c r="H167" s="173"/>
      <c r="I167" s="173"/>
      <c r="J167" s="175"/>
      <c r="K167" s="172"/>
    </row>
    <row r="168" spans="1:11" ht="15">
      <c r="A168" s="172"/>
      <c r="B168" s="172"/>
      <c r="C168" s="173"/>
      <c r="D168" s="173"/>
      <c r="E168" s="174"/>
      <c r="F168" s="173"/>
      <c r="G168" s="174"/>
      <c r="H168" s="173"/>
      <c r="I168" s="173"/>
      <c r="J168" s="175"/>
      <c r="K168" s="172"/>
    </row>
    <row r="169" spans="1:11" ht="15">
      <c r="A169" s="172"/>
      <c r="B169" s="172"/>
      <c r="C169" s="173"/>
      <c r="D169" s="173"/>
      <c r="E169" s="174"/>
      <c r="F169" s="173"/>
      <c r="G169" s="174"/>
      <c r="H169" s="173"/>
      <c r="I169" s="173"/>
      <c r="J169" s="175"/>
      <c r="K169" s="172"/>
    </row>
    <row r="170" spans="1:11" ht="15">
      <c r="A170" s="172"/>
      <c r="B170" s="172"/>
      <c r="C170" s="173"/>
      <c r="D170" s="173"/>
      <c r="E170" s="174"/>
      <c r="F170" s="173"/>
      <c r="G170" s="174"/>
      <c r="H170" s="173"/>
      <c r="I170" s="173"/>
      <c r="J170" s="175"/>
      <c r="K170" s="172"/>
    </row>
    <row r="171" spans="1:11" ht="15">
      <c r="A171" s="172"/>
      <c r="B171" s="172"/>
      <c r="C171" s="173"/>
      <c r="D171" s="173"/>
      <c r="E171" s="174"/>
      <c r="F171" s="173"/>
      <c r="G171" s="174"/>
      <c r="H171" s="173"/>
      <c r="I171" s="173"/>
      <c r="J171" s="175"/>
      <c r="K171" s="172"/>
    </row>
    <row r="172" spans="1:11" ht="15">
      <c r="A172" s="172"/>
      <c r="B172" s="172"/>
      <c r="C172" s="173"/>
      <c r="D172" s="173"/>
      <c r="E172" s="174"/>
      <c r="F172" s="173"/>
      <c r="G172" s="174"/>
      <c r="H172" s="173"/>
      <c r="I172" s="173"/>
      <c r="J172" s="175"/>
      <c r="K172" s="172"/>
    </row>
    <row r="173" spans="1:11" ht="15">
      <c r="A173" s="172"/>
      <c r="B173" s="172"/>
      <c r="C173" s="173"/>
      <c r="D173" s="173"/>
      <c r="E173" s="174"/>
      <c r="F173" s="173"/>
      <c r="G173" s="174"/>
      <c r="H173" s="173"/>
      <c r="I173" s="173"/>
      <c r="J173" s="175"/>
      <c r="K173" s="172"/>
    </row>
    <row r="174" spans="1:11" ht="15">
      <c r="A174" s="172"/>
      <c r="B174" s="172"/>
      <c r="C174" s="173"/>
      <c r="D174" s="173"/>
      <c r="E174" s="174"/>
      <c r="F174" s="173"/>
      <c r="G174" s="174"/>
      <c r="H174" s="173"/>
      <c r="I174" s="173"/>
      <c r="J174" s="175"/>
      <c r="K174" s="172"/>
    </row>
    <row r="175" spans="1:11" ht="15">
      <c r="A175" s="172"/>
      <c r="B175" s="172"/>
      <c r="C175" s="173"/>
      <c r="D175" s="173"/>
      <c r="E175" s="174"/>
      <c r="F175" s="173"/>
      <c r="G175" s="174"/>
      <c r="H175" s="173"/>
      <c r="I175" s="173"/>
      <c r="J175" s="175"/>
      <c r="K175" s="172"/>
    </row>
    <row r="176" spans="1:11" ht="15">
      <c r="A176" s="172"/>
      <c r="B176" s="172"/>
      <c r="C176" s="173"/>
      <c r="D176" s="173"/>
      <c r="E176" s="174"/>
      <c r="F176" s="173"/>
      <c r="G176" s="174"/>
      <c r="H176" s="173"/>
      <c r="I176" s="173"/>
      <c r="J176" s="175"/>
      <c r="K176" s="172"/>
    </row>
    <row r="177" spans="1:11" ht="15">
      <c r="A177" s="172"/>
      <c r="B177" s="172"/>
      <c r="C177" s="173"/>
      <c r="D177" s="173"/>
      <c r="E177" s="174"/>
      <c r="F177" s="173"/>
      <c r="G177" s="174"/>
      <c r="H177" s="173"/>
      <c r="I177" s="173"/>
      <c r="J177" s="175"/>
      <c r="K177" s="172"/>
    </row>
    <row r="178" spans="1:11" ht="15">
      <c r="A178" s="172"/>
      <c r="B178" s="172"/>
      <c r="C178" s="173"/>
      <c r="D178" s="173"/>
      <c r="E178" s="174"/>
      <c r="F178" s="173"/>
      <c r="G178" s="174"/>
      <c r="H178" s="173"/>
      <c r="I178" s="173"/>
      <c r="J178" s="175"/>
      <c r="K178" s="172"/>
    </row>
    <row r="179" spans="1:11" ht="15">
      <c r="A179" s="172"/>
      <c r="B179" s="172"/>
      <c r="C179" s="173"/>
      <c r="D179" s="173"/>
      <c r="E179" s="174"/>
      <c r="F179" s="173"/>
      <c r="G179" s="174"/>
      <c r="H179" s="173"/>
      <c r="I179" s="173"/>
      <c r="J179" s="175"/>
      <c r="K179" s="172"/>
    </row>
    <row r="180" spans="1:11" ht="15">
      <c r="A180" s="172"/>
      <c r="B180" s="172"/>
      <c r="C180" s="173"/>
      <c r="D180" s="173"/>
      <c r="E180" s="174"/>
      <c r="F180" s="173"/>
      <c r="G180" s="174"/>
      <c r="H180" s="173"/>
      <c r="I180" s="173"/>
      <c r="J180" s="175"/>
      <c r="K180" s="172"/>
    </row>
    <row r="181" spans="1:11" ht="15">
      <c r="A181" s="172"/>
      <c r="B181" s="172"/>
      <c r="C181" s="173"/>
      <c r="D181" s="173"/>
      <c r="E181" s="174"/>
      <c r="F181" s="173"/>
      <c r="G181" s="174"/>
      <c r="H181" s="173"/>
      <c r="I181" s="173"/>
      <c r="J181" s="175"/>
      <c r="K181" s="172"/>
    </row>
    <row r="182" spans="1:11" ht="15">
      <c r="A182" s="172"/>
      <c r="B182" s="172"/>
      <c r="C182" s="173"/>
      <c r="D182" s="173"/>
      <c r="E182" s="174"/>
      <c r="F182" s="173"/>
      <c r="G182" s="174"/>
      <c r="H182" s="173"/>
      <c r="I182" s="173"/>
      <c r="J182" s="175"/>
      <c r="K182" s="172"/>
    </row>
    <row r="183" spans="1:11" ht="15">
      <c r="A183" s="172"/>
      <c r="B183" s="172"/>
      <c r="C183" s="173"/>
      <c r="D183" s="173"/>
      <c r="E183" s="174"/>
      <c r="F183" s="173"/>
      <c r="G183" s="174"/>
      <c r="H183" s="173"/>
      <c r="I183" s="173"/>
      <c r="J183" s="175"/>
      <c r="K183" s="172"/>
    </row>
    <row r="184" spans="1:11" ht="15">
      <c r="A184" s="172"/>
      <c r="B184" s="172"/>
      <c r="C184" s="173"/>
      <c r="D184" s="173"/>
      <c r="E184" s="174"/>
      <c r="F184" s="173"/>
      <c r="G184" s="174"/>
      <c r="H184" s="173"/>
      <c r="I184" s="173"/>
      <c r="J184" s="175"/>
      <c r="K184" s="172"/>
    </row>
    <row r="185" spans="1:11" ht="15">
      <c r="A185" s="172"/>
      <c r="B185" s="172"/>
      <c r="C185" s="173"/>
      <c r="D185" s="173"/>
      <c r="E185" s="174"/>
      <c r="F185" s="173"/>
      <c r="G185" s="174"/>
      <c r="H185" s="173"/>
      <c r="I185" s="173"/>
      <c r="J185" s="175"/>
      <c r="K185" s="172"/>
    </row>
    <row r="186" spans="1:11" ht="15">
      <c r="A186" s="172"/>
      <c r="B186" s="172"/>
      <c r="C186" s="173"/>
      <c r="D186" s="173"/>
      <c r="E186" s="174"/>
      <c r="F186" s="173"/>
      <c r="G186" s="174"/>
      <c r="H186" s="173"/>
      <c r="I186" s="173"/>
      <c r="J186" s="175"/>
      <c r="K186" s="172"/>
    </row>
    <row r="187" spans="1:11" ht="15">
      <c r="A187" s="172"/>
      <c r="B187" s="172"/>
      <c r="C187" s="173"/>
      <c r="D187" s="173"/>
      <c r="E187" s="174"/>
      <c r="F187" s="173"/>
      <c r="G187" s="174"/>
      <c r="H187" s="173"/>
      <c r="I187" s="173"/>
      <c r="J187" s="175"/>
      <c r="K187" s="172"/>
    </row>
    <row r="188" spans="1:11" ht="15">
      <c r="A188" s="172"/>
      <c r="B188" s="172"/>
      <c r="C188" s="173"/>
      <c r="D188" s="173"/>
      <c r="E188" s="174"/>
      <c r="F188" s="173"/>
      <c r="G188" s="174"/>
      <c r="H188" s="173"/>
      <c r="I188" s="173"/>
      <c r="J188" s="175"/>
      <c r="K188" s="172"/>
    </row>
    <row r="189" spans="1:11" ht="15">
      <c r="A189" s="172"/>
      <c r="B189" s="172"/>
      <c r="C189" s="173"/>
      <c r="D189" s="173"/>
      <c r="E189" s="174"/>
      <c r="F189" s="173"/>
      <c r="G189" s="174"/>
      <c r="H189" s="173"/>
      <c r="I189" s="173"/>
      <c r="J189" s="175"/>
      <c r="K189" s="172"/>
    </row>
    <row r="190" spans="1:11" ht="15">
      <c r="A190" s="172"/>
      <c r="B190" s="172"/>
      <c r="C190" s="173"/>
      <c r="D190" s="173"/>
      <c r="E190" s="174"/>
      <c r="F190" s="173"/>
      <c r="G190" s="174"/>
      <c r="H190" s="173"/>
      <c r="I190" s="173"/>
      <c r="J190" s="175"/>
      <c r="K190" s="172"/>
    </row>
    <row r="191" spans="1:11" ht="15">
      <c r="A191" s="172"/>
      <c r="B191" s="172"/>
      <c r="C191" s="173"/>
      <c r="D191" s="173"/>
      <c r="E191" s="174"/>
      <c r="F191" s="173"/>
      <c r="G191" s="174"/>
      <c r="H191" s="173"/>
      <c r="I191" s="173"/>
      <c r="J191" s="175"/>
      <c r="K191" s="172"/>
    </row>
    <row r="192" spans="1:11" ht="15">
      <c r="A192" s="172"/>
      <c r="B192" s="172"/>
      <c r="C192" s="173"/>
      <c r="D192" s="173"/>
      <c r="E192" s="174"/>
      <c r="F192" s="173"/>
      <c r="G192" s="174"/>
      <c r="H192" s="173"/>
      <c r="I192" s="173"/>
      <c r="J192" s="175"/>
      <c r="K192" s="172"/>
    </row>
    <row r="193" spans="1:11" ht="15">
      <c r="A193" s="172"/>
      <c r="B193" s="172"/>
      <c r="C193" s="173"/>
      <c r="D193" s="173"/>
      <c r="E193" s="174"/>
      <c r="F193" s="173"/>
      <c r="G193" s="174"/>
      <c r="H193" s="173"/>
      <c r="I193" s="173"/>
      <c r="J193" s="175"/>
      <c r="K193" s="172"/>
    </row>
    <row r="194" spans="1:11" ht="15">
      <c r="A194" s="172"/>
      <c r="B194" s="172"/>
      <c r="C194" s="173"/>
      <c r="D194" s="173"/>
      <c r="E194" s="174"/>
      <c r="F194" s="173"/>
      <c r="G194" s="174"/>
      <c r="H194" s="173"/>
      <c r="I194" s="173"/>
      <c r="J194" s="175"/>
      <c r="K194" s="172"/>
    </row>
    <row r="195" spans="1:11" ht="15">
      <c r="A195" s="172"/>
      <c r="B195" s="172"/>
      <c r="C195" s="173"/>
      <c r="D195" s="173"/>
      <c r="E195" s="174"/>
      <c r="F195" s="173"/>
      <c r="G195" s="174"/>
      <c r="H195" s="173"/>
      <c r="I195" s="173"/>
      <c r="J195" s="175"/>
      <c r="K195" s="172"/>
    </row>
    <row r="196" spans="1:11" ht="15">
      <c r="A196" s="172"/>
      <c r="B196" s="172"/>
      <c r="C196" s="173"/>
      <c r="D196" s="173"/>
      <c r="E196" s="174"/>
      <c r="F196" s="173"/>
      <c r="G196" s="174"/>
      <c r="H196" s="173"/>
      <c r="I196" s="173"/>
      <c r="J196" s="175"/>
      <c r="K196" s="172"/>
    </row>
    <row r="197" spans="1:11" ht="15">
      <c r="A197" s="172"/>
      <c r="B197" s="172"/>
      <c r="C197" s="173"/>
      <c r="D197" s="173"/>
      <c r="E197" s="174"/>
      <c r="F197" s="173"/>
      <c r="G197" s="174"/>
      <c r="H197" s="173"/>
      <c r="I197" s="173"/>
      <c r="J197" s="175"/>
      <c r="K197" s="172"/>
    </row>
    <row r="198" spans="1:11" ht="15">
      <c r="A198" s="172"/>
      <c r="B198" s="172"/>
      <c r="C198" s="173"/>
      <c r="D198" s="173"/>
      <c r="E198" s="174"/>
      <c r="F198" s="173"/>
      <c r="G198" s="174"/>
      <c r="H198" s="173"/>
      <c r="I198" s="173"/>
      <c r="J198" s="175"/>
      <c r="K198" s="172"/>
    </row>
    <row r="199" spans="1:11" ht="15">
      <c r="A199" s="172"/>
      <c r="B199" s="172"/>
      <c r="C199" s="173"/>
      <c r="D199" s="173"/>
      <c r="E199" s="174"/>
      <c r="F199" s="173"/>
      <c r="G199" s="174"/>
      <c r="H199" s="173"/>
      <c r="I199" s="173"/>
      <c r="J199" s="175"/>
      <c r="K199" s="172"/>
    </row>
    <row r="200" spans="1:11" ht="15">
      <c r="A200" s="172"/>
      <c r="B200" s="172"/>
      <c r="C200" s="173"/>
      <c r="D200" s="173"/>
      <c r="E200" s="174"/>
      <c r="F200" s="173"/>
      <c r="G200" s="174"/>
      <c r="H200" s="173"/>
      <c r="I200" s="173"/>
      <c r="J200" s="175"/>
      <c r="K200" s="172"/>
    </row>
    <row r="201" spans="1:11" ht="15">
      <c r="A201" s="172"/>
      <c r="B201" s="172"/>
      <c r="C201" s="173"/>
      <c r="D201" s="173"/>
      <c r="E201" s="174"/>
      <c r="F201" s="173"/>
      <c r="G201" s="174"/>
      <c r="H201" s="173"/>
      <c r="I201" s="173"/>
      <c r="J201" s="175"/>
      <c r="K201" s="172"/>
    </row>
    <row r="202" spans="1:11" ht="15">
      <c r="A202" s="172"/>
      <c r="B202" s="172"/>
      <c r="C202" s="173"/>
      <c r="D202" s="173"/>
      <c r="E202" s="174"/>
      <c r="F202" s="173"/>
      <c r="G202" s="174"/>
      <c r="H202" s="173"/>
      <c r="I202" s="173"/>
      <c r="J202" s="175"/>
      <c r="K202" s="172"/>
    </row>
    <row r="203" spans="1:11" ht="15">
      <c r="A203" s="172"/>
      <c r="B203" s="172"/>
      <c r="C203" s="173"/>
      <c r="D203" s="173"/>
      <c r="E203" s="174"/>
      <c r="F203" s="173"/>
      <c r="G203" s="174"/>
      <c r="H203" s="173"/>
      <c r="I203" s="173"/>
      <c r="J203" s="175"/>
      <c r="K203" s="172"/>
    </row>
    <row r="204" spans="1:11" ht="15">
      <c r="A204" s="172"/>
      <c r="B204" s="172"/>
      <c r="C204" s="173"/>
      <c r="D204" s="173"/>
      <c r="E204" s="174"/>
      <c r="F204" s="173"/>
      <c r="G204" s="174"/>
      <c r="H204" s="173"/>
      <c r="I204" s="173"/>
      <c r="J204" s="175"/>
      <c r="K204" s="172"/>
    </row>
    <row r="205" spans="1:11" ht="15">
      <c r="A205" s="172"/>
      <c r="B205" s="172"/>
      <c r="C205" s="173"/>
      <c r="D205" s="173"/>
      <c r="E205" s="174"/>
      <c r="F205" s="173"/>
      <c r="G205" s="174"/>
      <c r="H205" s="173"/>
      <c r="I205" s="173"/>
      <c r="J205" s="175"/>
      <c r="K205" s="172"/>
    </row>
    <row r="206" spans="1:11" ht="15">
      <c r="A206" s="172"/>
      <c r="B206" s="172"/>
      <c r="C206" s="173"/>
      <c r="D206" s="173"/>
      <c r="E206" s="174"/>
      <c r="F206" s="173"/>
      <c r="G206" s="174"/>
      <c r="H206" s="173"/>
      <c r="I206" s="173"/>
      <c r="J206" s="175"/>
      <c r="K206" s="172"/>
    </row>
    <row r="207" spans="1:11" ht="15">
      <c r="A207" s="172"/>
      <c r="B207" s="172"/>
      <c r="C207" s="173"/>
      <c r="D207" s="173"/>
      <c r="E207" s="174"/>
      <c r="F207" s="173"/>
      <c r="G207" s="174"/>
      <c r="H207" s="173"/>
      <c r="I207" s="173"/>
      <c r="J207" s="175"/>
      <c r="K207" s="172"/>
    </row>
    <row r="208" spans="1:11" ht="15">
      <c r="A208" s="172"/>
      <c r="B208" s="172"/>
      <c r="C208" s="173"/>
      <c r="D208" s="173"/>
      <c r="E208" s="174"/>
      <c r="F208" s="173"/>
      <c r="G208" s="174"/>
      <c r="H208" s="173"/>
      <c r="I208" s="173"/>
      <c r="J208" s="175"/>
      <c r="K208" s="172"/>
    </row>
    <row r="209" spans="1:11" ht="15">
      <c r="A209" s="172"/>
      <c r="B209" s="172"/>
      <c r="C209" s="173"/>
      <c r="D209" s="173"/>
      <c r="E209" s="174"/>
      <c r="F209" s="173"/>
      <c r="G209" s="174"/>
      <c r="H209" s="173"/>
      <c r="I209" s="173"/>
      <c r="J209" s="175"/>
      <c r="K209" s="172"/>
    </row>
    <row r="210" spans="1:11" ht="15">
      <c r="A210" s="172"/>
      <c r="B210" s="172"/>
      <c r="C210" s="173"/>
      <c r="D210" s="173"/>
      <c r="E210" s="174"/>
      <c r="F210" s="173"/>
      <c r="G210" s="174"/>
      <c r="H210" s="173"/>
      <c r="I210" s="173"/>
      <c r="J210" s="175"/>
      <c r="K210" s="172"/>
    </row>
    <row r="211" spans="1:11" ht="15">
      <c r="A211" s="172"/>
      <c r="B211" s="172"/>
      <c r="C211" s="173"/>
      <c r="D211" s="173"/>
      <c r="E211" s="174"/>
      <c r="F211" s="173"/>
      <c r="G211" s="174"/>
      <c r="H211" s="173"/>
      <c r="I211" s="173"/>
      <c r="J211" s="175"/>
      <c r="K211" s="172"/>
    </row>
    <row r="212" spans="1:11" ht="15">
      <c r="A212" s="172"/>
      <c r="B212" s="172"/>
      <c r="C212" s="173"/>
      <c r="D212" s="173"/>
      <c r="E212" s="174"/>
      <c r="F212" s="173"/>
      <c r="G212" s="174"/>
      <c r="H212" s="173"/>
      <c r="I212" s="173"/>
      <c r="J212" s="175"/>
      <c r="K212" s="172"/>
    </row>
    <row r="213" spans="1:11" ht="15">
      <c r="A213" s="172"/>
      <c r="B213" s="172"/>
      <c r="C213" s="173"/>
      <c r="D213" s="173"/>
      <c r="E213" s="174"/>
      <c r="F213" s="173"/>
      <c r="G213" s="174"/>
      <c r="H213" s="173"/>
      <c r="I213" s="173"/>
      <c r="J213" s="175"/>
      <c r="K213" s="172"/>
    </row>
    <row r="214" spans="1:11" ht="15">
      <c r="A214" s="172"/>
      <c r="B214" s="172"/>
      <c r="C214" s="173"/>
      <c r="D214" s="173"/>
      <c r="E214" s="174"/>
      <c r="F214" s="173"/>
      <c r="G214" s="174"/>
      <c r="H214" s="173"/>
      <c r="I214" s="173"/>
      <c r="J214" s="175"/>
      <c r="K214" s="172"/>
    </row>
    <row r="215" spans="1:11" ht="15">
      <c r="A215" s="172"/>
      <c r="B215" s="172"/>
      <c r="C215" s="173"/>
      <c r="D215" s="173"/>
      <c r="E215" s="174"/>
      <c r="F215" s="173"/>
      <c r="G215" s="174"/>
      <c r="H215" s="173"/>
      <c r="I215" s="173"/>
      <c r="J215" s="175"/>
      <c r="K215" s="172"/>
    </row>
    <row r="216" spans="1:11" ht="15">
      <c r="A216" s="172"/>
      <c r="B216" s="172"/>
      <c r="C216" s="173"/>
      <c r="D216" s="173"/>
      <c r="E216" s="174"/>
      <c r="F216" s="173"/>
      <c r="G216" s="174"/>
      <c r="H216" s="173"/>
      <c r="I216" s="173"/>
      <c r="J216" s="175"/>
      <c r="K216" s="172"/>
    </row>
    <row r="217" spans="1:11" ht="15">
      <c r="A217" s="172"/>
      <c r="B217" s="172"/>
      <c r="C217" s="173"/>
      <c r="D217" s="173"/>
      <c r="E217" s="174"/>
      <c r="F217" s="173"/>
      <c r="G217" s="174"/>
      <c r="H217" s="173"/>
      <c r="I217" s="173"/>
      <c r="J217" s="175"/>
      <c r="K217" s="172"/>
    </row>
    <row r="218" spans="1:11" ht="15">
      <c r="A218" s="172"/>
      <c r="B218" s="172"/>
      <c r="C218" s="173"/>
      <c r="D218" s="173"/>
      <c r="E218" s="174"/>
      <c r="F218" s="173"/>
      <c r="G218" s="174"/>
      <c r="H218" s="173"/>
      <c r="I218" s="173"/>
      <c r="J218" s="175"/>
      <c r="K218" s="172"/>
    </row>
    <row r="219" spans="1:11" ht="15">
      <c r="A219" s="172"/>
      <c r="B219" s="172"/>
      <c r="C219" s="173"/>
      <c r="D219" s="173"/>
      <c r="E219" s="174"/>
      <c r="F219" s="173"/>
      <c r="G219" s="174"/>
      <c r="H219" s="173"/>
      <c r="I219" s="173"/>
      <c r="J219" s="175"/>
      <c r="K219" s="172"/>
    </row>
    <row r="220" spans="1:11" ht="15">
      <c r="A220" s="172"/>
      <c r="B220" s="172"/>
      <c r="C220" s="173"/>
      <c r="D220" s="173"/>
      <c r="E220" s="174"/>
      <c r="F220" s="173"/>
      <c r="G220" s="174"/>
      <c r="H220" s="173"/>
      <c r="I220" s="173"/>
      <c r="J220" s="175"/>
      <c r="K220" s="172"/>
    </row>
    <row r="221" spans="1:11" ht="15">
      <c r="A221" s="172"/>
      <c r="B221" s="172"/>
      <c r="C221" s="173"/>
      <c r="D221" s="173"/>
      <c r="E221" s="174"/>
      <c r="F221" s="173"/>
      <c r="G221" s="174"/>
      <c r="H221" s="173"/>
      <c r="I221" s="173"/>
      <c r="J221" s="175"/>
      <c r="K221" s="172"/>
    </row>
    <row r="222" spans="1:11" ht="15">
      <c r="A222" s="172"/>
      <c r="B222" s="172"/>
      <c r="C222" s="173"/>
      <c r="D222" s="173"/>
      <c r="E222" s="174"/>
      <c r="F222" s="173"/>
      <c r="G222" s="174"/>
      <c r="H222" s="173"/>
      <c r="I222" s="173"/>
      <c r="J222" s="175"/>
      <c r="K222" s="172"/>
    </row>
    <row r="223" spans="1:11" ht="15">
      <c r="A223" s="172"/>
      <c r="B223" s="172"/>
      <c r="C223" s="173"/>
      <c r="D223" s="173"/>
      <c r="E223" s="174"/>
      <c r="F223" s="173"/>
      <c r="G223" s="174"/>
      <c r="H223" s="173"/>
      <c r="I223" s="173"/>
      <c r="J223" s="175"/>
      <c r="K223" s="172"/>
    </row>
    <row r="224" spans="1:11" ht="15">
      <c r="A224" s="172"/>
      <c r="B224" s="172"/>
      <c r="C224" s="173"/>
      <c r="D224" s="173"/>
      <c r="E224" s="174"/>
      <c r="F224" s="173"/>
      <c r="G224" s="174"/>
      <c r="H224" s="173"/>
      <c r="I224" s="173"/>
      <c r="J224" s="175"/>
      <c r="K224" s="172"/>
    </row>
    <row r="225" spans="1:11" ht="15">
      <c r="A225" s="172"/>
      <c r="B225" s="172"/>
      <c r="C225" s="173"/>
      <c r="D225" s="173"/>
      <c r="E225" s="174"/>
      <c r="F225" s="173"/>
      <c r="G225" s="174"/>
      <c r="H225" s="173"/>
      <c r="I225" s="173"/>
      <c r="J225" s="175"/>
      <c r="K225" s="172"/>
    </row>
    <row r="226" spans="1:11" ht="15">
      <c r="A226" s="172"/>
      <c r="B226" s="172"/>
      <c r="C226" s="173"/>
      <c r="D226" s="173"/>
      <c r="E226" s="174"/>
      <c r="F226" s="173"/>
      <c r="G226" s="174"/>
      <c r="H226" s="173"/>
      <c r="I226" s="173"/>
      <c r="J226" s="175"/>
      <c r="K226" s="172"/>
    </row>
    <row r="227" spans="1:11" ht="15">
      <c r="A227" s="172"/>
      <c r="B227" s="172"/>
      <c r="C227" s="173"/>
      <c r="D227" s="173"/>
      <c r="E227" s="174"/>
      <c r="F227" s="173"/>
      <c r="G227" s="174"/>
      <c r="H227" s="173"/>
      <c r="I227" s="173"/>
      <c r="J227" s="175"/>
      <c r="K227" s="172"/>
    </row>
    <row r="228" spans="1:11" ht="15">
      <c r="A228" s="172"/>
      <c r="B228" s="172"/>
      <c r="C228" s="173"/>
      <c r="D228" s="173"/>
      <c r="E228" s="174"/>
      <c r="F228" s="173"/>
      <c r="G228" s="174"/>
      <c r="H228" s="173"/>
      <c r="I228" s="173"/>
      <c r="J228" s="175"/>
      <c r="K228" s="172"/>
    </row>
    <row r="229" spans="1:11" ht="15">
      <c r="A229" s="172"/>
      <c r="B229" s="172"/>
      <c r="C229" s="173"/>
      <c r="D229" s="173"/>
      <c r="E229" s="174"/>
      <c r="F229" s="173"/>
      <c r="G229" s="174"/>
      <c r="H229" s="173"/>
      <c r="I229" s="173"/>
      <c r="J229" s="175"/>
      <c r="K229" s="172"/>
    </row>
    <row r="230" spans="1:11" ht="15">
      <c r="A230" s="172"/>
      <c r="B230" s="172"/>
      <c r="C230" s="173"/>
      <c r="D230" s="173"/>
      <c r="E230" s="174"/>
      <c r="F230" s="173"/>
      <c r="G230" s="174"/>
      <c r="H230" s="173"/>
      <c r="I230" s="173"/>
      <c r="J230" s="175"/>
      <c r="K230" s="172"/>
    </row>
    <row r="231" spans="1:11" ht="15">
      <c r="A231" s="172"/>
      <c r="B231" s="172"/>
      <c r="C231" s="173"/>
      <c r="D231" s="173"/>
      <c r="E231" s="174"/>
      <c r="F231" s="173"/>
      <c r="G231" s="174"/>
      <c r="H231" s="173"/>
      <c r="I231" s="173"/>
      <c r="J231" s="175"/>
      <c r="K231" s="172"/>
    </row>
    <row r="232" spans="1:11" ht="15">
      <c r="A232" s="172"/>
      <c r="B232" s="172"/>
      <c r="C232" s="173"/>
      <c r="D232" s="173"/>
      <c r="E232" s="174"/>
      <c r="F232" s="173"/>
      <c r="G232" s="174"/>
      <c r="H232" s="173"/>
      <c r="I232" s="173"/>
      <c r="J232" s="175"/>
      <c r="K232" s="172"/>
    </row>
    <row r="233" spans="1:11" ht="15">
      <c r="A233" s="172"/>
      <c r="B233" s="172"/>
      <c r="C233" s="173"/>
      <c r="D233" s="173"/>
      <c r="E233" s="174"/>
      <c r="F233" s="173"/>
      <c r="G233" s="174"/>
      <c r="H233" s="173"/>
      <c r="I233" s="173"/>
      <c r="J233" s="175"/>
      <c r="K233" s="172"/>
    </row>
    <row r="234" spans="1:11" ht="15">
      <c r="A234" s="172"/>
      <c r="B234" s="172"/>
      <c r="C234" s="173"/>
      <c r="D234" s="173"/>
      <c r="E234" s="174"/>
      <c r="F234" s="173"/>
      <c r="G234" s="174"/>
      <c r="H234" s="173"/>
      <c r="I234" s="173"/>
      <c r="J234" s="175"/>
      <c r="K234" s="172"/>
    </row>
    <row r="235" spans="1:11" ht="15">
      <c r="A235" s="172"/>
      <c r="B235" s="172"/>
      <c r="C235" s="173"/>
      <c r="D235" s="173"/>
      <c r="E235" s="174"/>
      <c r="F235" s="173"/>
      <c r="G235" s="174"/>
      <c r="H235" s="173"/>
      <c r="I235" s="173"/>
      <c r="J235" s="175"/>
      <c r="K235" s="172"/>
    </row>
    <row r="236" spans="1:11" ht="15">
      <c r="A236" s="172"/>
      <c r="B236" s="172"/>
      <c r="C236" s="173"/>
      <c r="D236" s="173"/>
      <c r="E236" s="174"/>
      <c r="F236" s="173"/>
      <c r="G236" s="174"/>
      <c r="H236" s="173"/>
      <c r="I236" s="173"/>
      <c r="J236" s="175"/>
      <c r="K236" s="172"/>
    </row>
    <row r="237" spans="1:11" ht="15">
      <c r="A237" s="172"/>
      <c r="B237" s="172"/>
      <c r="C237" s="173"/>
      <c r="D237" s="173"/>
      <c r="E237" s="174"/>
      <c r="F237" s="173"/>
      <c r="G237" s="174"/>
      <c r="H237" s="173"/>
      <c r="I237" s="173"/>
      <c r="J237" s="175"/>
      <c r="K237" s="172"/>
    </row>
    <row r="238" spans="1:11" ht="15">
      <c r="A238" s="172"/>
      <c r="B238" s="172"/>
      <c r="C238" s="173"/>
      <c r="D238" s="173"/>
      <c r="E238" s="174"/>
      <c r="F238" s="173"/>
      <c r="G238" s="174"/>
      <c r="H238" s="173"/>
      <c r="I238" s="173"/>
      <c r="J238" s="175"/>
      <c r="K238" s="172"/>
    </row>
    <row r="239" spans="1:11" ht="15">
      <c r="A239" s="172"/>
      <c r="B239" s="172"/>
      <c r="C239" s="173"/>
      <c r="D239" s="173"/>
      <c r="E239" s="174"/>
      <c r="F239" s="173"/>
      <c r="G239" s="174"/>
      <c r="H239" s="173"/>
      <c r="I239" s="173"/>
      <c r="J239" s="175"/>
      <c r="K239" s="172"/>
    </row>
    <row r="240" spans="1:11" ht="15">
      <c r="A240" s="172"/>
      <c r="B240" s="172"/>
      <c r="C240" s="173"/>
      <c r="D240" s="173"/>
      <c r="E240" s="174"/>
      <c r="F240" s="173"/>
      <c r="G240" s="174"/>
      <c r="H240" s="173"/>
      <c r="I240" s="173"/>
      <c r="J240" s="175"/>
      <c r="K240" s="172"/>
    </row>
    <row r="241" spans="1:11" ht="15">
      <c r="A241" s="172"/>
      <c r="B241" s="172"/>
      <c r="C241" s="173"/>
      <c r="D241" s="173"/>
      <c r="E241" s="174"/>
      <c r="F241" s="173"/>
      <c r="G241" s="174"/>
      <c r="H241" s="173"/>
      <c r="I241" s="173"/>
      <c r="J241" s="175"/>
      <c r="K241" s="172"/>
    </row>
    <row r="242" spans="1:11" ht="15">
      <c r="A242" s="172"/>
      <c r="B242" s="172"/>
      <c r="C242" s="173"/>
      <c r="D242" s="173"/>
      <c r="E242" s="174"/>
      <c r="F242" s="173"/>
      <c r="G242" s="174"/>
      <c r="H242" s="173"/>
      <c r="I242" s="173"/>
      <c r="J242" s="175"/>
      <c r="K242" s="172"/>
    </row>
    <row r="243" spans="1:11" ht="15">
      <c r="A243" s="172"/>
      <c r="B243" s="172"/>
      <c r="C243" s="173"/>
      <c r="D243" s="173"/>
      <c r="E243" s="174"/>
      <c r="F243" s="173"/>
      <c r="G243" s="174"/>
      <c r="H243" s="173"/>
      <c r="I243" s="173"/>
      <c r="J243" s="175"/>
      <c r="K243" s="172"/>
    </row>
    <row r="244" spans="1:11" ht="15">
      <c r="A244" s="172"/>
      <c r="B244" s="172"/>
      <c r="C244" s="173"/>
      <c r="D244" s="173"/>
      <c r="E244" s="174"/>
      <c r="F244" s="173"/>
      <c r="G244" s="174"/>
      <c r="H244" s="173"/>
      <c r="I244" s="173"/>
      <c r="J244" s="175"/>
      <c r="K244" s="172"/>
    </row>
    <row r="245" spans="1:11" ht="15">
      <c r="A245" s="172"/>
      <c r="B245" s="172"/>
      <c r="C245" s="173"/>
      <c r="D245" s="173"/>
      <c r="E245" s="174"/>
      <c r="F245" s="173"/>
      <c r="G245" s="174"/>
      <c r="H245" s="173"/>
      <c r="I245" s="173"/>
      <c r="J245" s="175"/>
      <c r="K245" s="172"/>
    </row>
    <row r="246" spans="1:11" ht="15">
      <c r="A246" s="172"/>
      <c r="B246" s="172"/>
      <c r="C246" s="173"/>
      <c r="D246" s="173"/>
      <c r="E246" s="174"/>
      <c r="F246" s="173"/>
      <c r="G246" s="174"/>
      <c r="H246" s="173"/>
      <c r="I246" s="173"/>
      <c r="J246" s="175"/>
      <c r="K246" s="172"/>
    </row>
    <row r="247" spans="1:11" ht="15">
      <c r="A247" s="172"/>
      <c r="B247" s="172"/>
      <c r="C247" s="173"/>
      <c r="D247" s="173"/>
      <c r="E247" s="174"/>
      <c r="F247" s="173"/>
      <c r="G247" s="174"/>
      <c r="H247" s="173"/>
      <c r="I247" s="173"/>
      <c r="J247" s="175"/>
      <c r="K247" s="172"/>
    </row>
    <row r="248" spans="1:11" ht="15">
      <c r="A248" s="172"/>
      <c r="B248" s="172"/>
      <c r="C248" s="173"/>
      <c r="D248" s="173"/>
      <c r="E248" s="174"/>
      <c r="F248" s="173"/>
      <c r="G248" s="174"/>
      <c r="H248" s="173"/>
      <c r="I248" s="173"/>
      <c r="J248" s="175"/>
      <c r="K248" s="172"/>
    </row>
    <row r="249" spans="1:11" ht="15">
      <c r="A249" s="172"/>
      <c r="B249" s="172"/>
      <c r="C249" s="173"/>
      <c r="D249" s="173"/>
      <c r="E249" s="174"/>
      <c r="F249" s="173"/>
      <c r="G249" s="174"/>
      <c r="H249" s="173"/>
      <c r="I249" s="173"/>
      <c r="J249" s="175"/>
      <c r="K249" s="172"/>
    </row>
    <row r="250" spans="1:11" ht="15">
      <c r="A250" s="172"/>
      <c r="B250" s="172"/>
      <c r="C250" s="173"/>
      <c r="D250" s="173"/>
      <c r="E250" s="174"/>
      <c r="F250" s="173"/>
      <c r="G250" s="174"/>
      <c r="H250" s="173"/>
      <c r="I250" s="173"/>
      <c r="J250" s="175"/>
      <c r="K250" s="172"/>
    </row>
    <row r="251" spans="1:11" ht="15">
      <c r="A251" s="172"/>
      <c r="B251" s="172"/>
      <c r="C251" s="173"/>
      <c r="D251" s="173"/>
      <c r="E251" s="174"/>
      <c r="F251" s="173"/>
      <c r="G251" s="174"/>
      <c r="H251" s="173"/>
      <c r="I251" s="173"/>
      <c r="J251" s="175"/>
      <c r="K251" s="172"/>
    </row>
    <row r="252" spans="1:11" ht="15">
      <c r="A252" s="172"/>
      <c r="B252" s="172"/>
      <c r="C252" s="173"/>
      <c r="D252" s="173"/>
      <c r="E252" s="174"/>
      <c r="F252" s="173"/>
      <c r="G252" s="174"/>
      <c r="H252" s="173"/>
      <c r="I252" s="173"/>
      <c r="J252" s="175"/>
      <c r="K252" s="172"/>
    </row>
    <row r="253" spans="1:11" ht="15">
      <c r="A253" s="172"/>
      <c r="B253" s="172"/>
      <c r="C253" s="173"/>
      <c r="D253" s="173"/>
      <c r="E253" s="174"/>
      <c r="F253" s="173"/>
      <c r="G253" s="174"/>
      <c r="H253" s="173"/>
      <c r="I253" s="173"/>
      <c r="J253" s="175"/>
      <c r="K253" s="172"/>
    </row>
    <row r="254" spans="1:11" ht="15">
      <c r="A254" s="172"/>
      <c r="B254" s="172"/>
      <c r="C254" s="173"/>
      <c r="D254" s="173"/>
      <c r="E254" s="174"/>
      <c r="F254" s="173"/>
      <c r="G254" s="174"/>
      <c r="H254" s="173"/>
      <c r="I254" s="173"/>
      <c r="J254" s="175"/>
      <c r="K254" s="172"/>
    </row>
    <row r="255" spans="1:11" ht="15">
      <c r="A255" s="172"/>
      <c r="B255" s="172"/>
      <c r="C255" s="173"/>
      <c r="D255" s="173"/>
      <c r="E255" s="174"/>
      <c r="F255" s="173"/>
      <c r="G255" s="174"/>
      <c r="H255" s="173"/>
      <c r="I255" s="173"/>
      <c r="J255" s="175"/>
      <c r="K255" s="172"/>
    </row>
    <row r="256" spans="1:11" ht="15">
      <c r="A256" s="172"/>
      <c r="B256" s="172"/>
      <c r="C256" s="173"/>
      <c r="D256" s="173"/>
      <c r="E256" s="174"/>
      <c r="F256" s="173"/>
      <c r="G256" s="174"/>
      <c r="H256" s="173"/>
      <c r="I256" s="173"/>
      <c r="J256" s="175"/>
      <c r="K256" s="172"/>
    </row>
    <row r="257" spans="1:11" ht="15">
      <c r="A257" s="172"/>
      <c r="B257" s="172"/>
      <c r="C257" s="173"/>
      <c r="D257" s="173"/>
      <c r="E257" s="174"/>
      <c r="F257" s="173"/>
      <c r="G257" s="174"/>
      <c r="H257" s="173"/>
      <c r="I257" s="173"/>
      <c r="J257" s="175"/>
      <c r="K257" s="172"/>
    </row>
    <row r="258" spans="1:11" ht="15">
      <c r="A258" s="172"/>
      <c r="B258" s="172"/>
      <c r="C258" s="173"/>
      <c r="D258" s="173"/>
      <c r="E258" s="174"/>
      <c r="F258" s="173"/>
      <c r="G258" s="174"/>
      <c r="H258" s="173"/>
      <c r="I258" s="173"/>
      <c r="J258" s="175"/>
      <c r="K258" s="172"/>
    </row>
    <row r="259" spans="1:11" ht="15">
      <c r="A259" s="172"/>
      <c r="B259" s="172"/>
      <c r="C259" s="173"/>
      <c r="D259" s="173"/>
      <c r="E259" s="174"/>
      <c r="F259" s="173"/>
      <c r="G259" s="174"/>
      <c r="H259" s="173"/>
      <c r="I259" s="173"/>
      <c r="J259" s="175"/>
      <c r="K259" s="172"/>
    </row>
    <row r="260" spans="1:11" ht="15">
      <c r="A260" s="172"/>
      <c r="B260" s="172"/>
      <c r="C260" s="173"/>
      <c r="D260" s="173"/>
      <c r="E260" s="174"/>
      <c r="F260" s="173"/>
      <c r="G260" s="174"/>
      <c r="H260" s="173"/>
      <c r="I260" s="173"/>
      <c r="J260" s="175"/>
      <c r="K260" s="172"/>
    </row>
    <row r="261" spans="1:11" ht="15">
      <c r="A261" s="172"/>
      <c r="B261" s="172"/>
      <c r="C261" s="173"/>
      <c r="D261" s="173"/>
      <c r="E261" s="174"/>
      <c r="F261" s="173"/>
      <c r="G261" s="174"/>
      <c r="H261" s="173"/>
      <c r="I261" s="173"/>
      <c r="J261" s="175"/>
      <c r="K261" s="172"/>
    </row>
    <row r="262" spans="1:11" ht="15">
      <c r="A262" s="172"/>
      <c r="B262" s="172"/>
      <c r="C262" s="173"/>
      <c r="D262" s="173"/>
      <c r="E262" s="174"/>
      <c r="F262" s="173"/>
      <c r="G262" s="174"/>
      <c r="H262" s="173"/>
      <c r="I262" s="173"/>
      <c r="J262" s="175"/>
      <c r="K262" s="172"/>
    </row>
    <row r="263" spans="1:11" ht="15">
      <c r="A263" s="172"/>
      <c r="B263" s="172"/>
      <c r="C263" s="173"/>
      <c r="D263" s="173"/>
      <c r="E263" s="174"/>
      <c r="F263" s="173"/>
      <c r="G263" s="174"/>
      <c r="H263" s="173"/>
      <c r="I263" s="173"/>
      <c r="J263" s="175"/>
      <c r="K263" s="172"/>
    </row>
    <row r="264" spans="1:11" ht="15">
      <c r="A264" s="172"/>
      <c r="B264" s="172"/>
      <c r="C264" s="173"/>
      <c r="D264" s="173"/>
      <c r="E264" s="174"/>
      <c r="F264" s="173"/>
      <c r="G264" s="174"/>
      <c r="H264" s="173"/>
      <c r="I264" s="173"/>
      <c r="J264" s="175"/>
      <c r="K264" s="172"/>
    </row>
    <row r="265" spans="1:11" ht="15">
      <c r="A265" s="172"/>
      <c r="B265" s="172"/>
      <c r="C265" s="173"/>
      <c r="D265" s="173"/>
      <c r="E265" s="174"/>
      <c r="F265" s="173"/>
      <c r="G265" s="174"/>
      <c r="H265" s="173"/>
      <c r="I265" s="173"/>
      <c r="J265" s="175"/>
      <c r="K265" s="172"/>
    </row>
    <row r="266" spans="1:11" ht="15">
      <c r="A266" s="172"/>
      <c r="B266" s="172"/>
      <c r="C266" s="173"/>
      <c r="D266" s="173"/>
      <c r="E266" s="174"/>
      <c r="F266" s="173"/>
      <c r="G266" s="174"/>
      <c r="H266" s="173"/>
      <c r="I266" s="173"/>
      <c r="J266" s="175"/>
      <c r="K266" s="172"/>
    </row>
    <row r="267" spans="1:11" ht="15">
      <c r="A267" s="172"/>
      <c r="B267" s="172"/>
      <c r="C267" s="173"/>
      <c r="D267" s="173"/>
      <c r="E267" s="174"/>
      <c r="F267" s="173"/>
      <c r="G267" s="174"/>
      <c r="H267" s="173"/>
      <c r="I267" s="173"/>
      <c r="J267" s="175"/>
      <c r="K267" s="172"/>
    </row>
    <row r="268" spans="1:11" ht="15">
      <c r="A268" s="172"/>
      <c r="B268" s="172"/>
      <c r="C268" s="173"/>
      <c r="D268" s="173"/>
      <c r="E268" s="174"/>
      <c r="F268" s="173"/>
      <c r="G268" s="174"/>
      <c r="H268" s="173"/>
      <c r="I268" s="173"/>
      <c r="J268" s="175"/>
      <c r="K268" s="172"/>
    </row>
    <row r="269" spans="1:11" ht="15">
      <c r="A269" s="172"/>
      <c r="B269" s="172"/>
      <c r="C269" s="173"/>
      <c r="D269" s="173"/>
      <c r="E269" s="174"/>
      <c r="F269" s="173"/>
      <c r="G269" s="174"/>
      <c r="H269" s="173"/>
      <c r="I269" s="173"/>
      <c r="J269" s="175"/>
      <c r="K269" s="172"/>
    </row>
    <row r="270" spans="1:11" ht="15">
      <c r="A270" s="172"/>
      <c r="B270" s="172"/>
      <c r="C270" s="173"/>
      <c r="D270" s="173"/>
      <c r="E270" s="174"/>
      <c r="F270" s="173"/>
      <c r="G270" s="174"/>
      <c r="H270" s="173"/>
      <c r="I270" s="173"/>
      <c r="J270" s="175"/>
      <c r="K270" s="172"/>
    </row>
    <row r="271" spans="1:11" ht="15">
      <c r="A271" s="172"/>
      <c r="B271" s="172"/>
      <c r="C271" s="173"/>
      <c r="D271" s="173"/>
      <c r="E271" s="174"/>
      <c r="F271" s="173"/>
      <c r="G271" s="174"/>
      <c r="H271" s="173"/>
      <c r="I271" s="173"/>
      <c r="J271" s="175"/>
      <c r="K271" s="172"/>
    </row>
    <row r="272" spans="1:11" ht="15">
      <c r="A272" s="172"/>
      <c r="B272" s="172"/>
      <c r="C272" s="173"/>
      <c r="D272" s="173"/>
      <c r="E272" s="174"/>
      <c r="F272" s="173"/>
      <c r="G272" s="174"/>
      <c r="H272" s="173"/>
      <c r="I272" s="173"/>
      <c r="J272" s="175"/>
      <c r="K272" s="172"/>
    </row>
    <row r="273" spans="1:11" ht="15">
      <c r="A273" s="172"/>
      <c r="B273" s="172"/>
      <c r="C273" s="173"/>
      <c r="D273" s="173"/>
      <c r="E273" s="174"/>
      <c r="F273" s="173"/>
      <c r="G273" s="174"/>
      <c r="H273" s="173"/>
      <c r="I273" s="173"/>
      <c r="J273" s="175"/>
      <c r="K273" s="172"/>
    </row>
  </sheetData>
  <sheetProtection/>
  <mergeCells count="6">
    <mergeCell ref="F5:H5"/>
    <mergeCell ref="F8:J10"/>
    <mergeCell ref="F11:J13"/>
    <mergeCell ref="F23:J23"/>
    <mergeCell ref="G25:H25"/>
    <mergeCell ref="B85:G85"/>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Feuil2"/>
  <dimension ref="A1:R74"/>
  <sheetViews>
    <sheetView zoomScale="85" zoomScaleNormal="85" zoomScalePageLayoutView="0" workbookViewId="0" topLeftCell="A2">
      <selection activeCell="G23" sqref="G23"/>
    </sheetView>
  </sheetViews>
  <sheetFormatPr defaultColWidth="11.421875" defaultRowHeight="15"/>
  <cols>
    <col min="2" max="2" width="11.57421875" style="0" customWidth="1"/>
    <col min="4" max="4" width="19.421875" style="0" customWidth="1"/>
    <col min="5" max="5" width="14.00390625" style="0" customWidth="1"/>
    <col min="7" max="7" width="15.421875" style="0" customWidth="1"/>
    <col min="8" max="8" width="14.421875" style="0" customWidth="1"/>
  </cols>
  <sheetData>
    <row r="1" spans="1:9" ht="15">
      <c r="A1" s="138" t="s">
        <v>92</v>
      </c>
      <c r="D1" t="s">
        <v>21</v>
      </c>
      <c r="E1" s="363" t="s">
        <v>49</v>
      </c>
      <c r="F1" s="364"/>
      <c r="G1" s="364"/>
      <c r="H1" s="364"/>
      <c r="I1" s="364"/>
    </row>
    <row r="2" spans="4:9" ht="15">
      <c r="D2" t="s">
        <v>220</v>
      </c>
      <c r="E2" s="364"/>
      <c r="F2" s="364"/>
      <c r="G2" s="364"/>
      <c r="H2" s="364"/>
      <c r="I2" s="364"/>
    </row>
    <row r="3" spans="2:4" ht="15.75" thickBot="1">
      <c r="B3" s="8" t="s">
        <v>21</v>
      </c>
      <c r="D3" t="s">
        <v>214</v>
      </c>
    </row>
    <row r="4" spans="2:15" ht="16.5" thickBot="1">
      <c r="B4" s="3"/>
      <c r="D4" t="s">
        <v>193</v>
      </c>
      <c r="G4" s="24" t="s">
        <v>23</v>
      </c>
      <c r="H4" s="11" t="e">
        <f>'DEMANDE DE PERSONNEL'!#REF!</f>
        <v>#REF!</v>
      </c>
      <c r="I4" s="12" t="e">
        <f>I5*13</f>
        <v>#REF!</v>
      </c>
      <c r="O4" s="131" t="s">
        <v>84</v>
      </c>
    </row>
    <row r="5" spans="2:15" ht="16.5" thickBot="1">
      <c r="B5" s="2" t="s">
        <v>15</v>
      </c>
      <c r="D5" t="s">
        <v>219</v>
      </c>
      <c r="F5" s="25" t="s">
        <v>30</v>
      </c>
      <c r="G5" s="26" t="e">
        <f>'DEMANDE DE PERSONNEL'!#REF!</f>
        <v>#REF!</v>
      </c>
      <c r="H5" s="12" t="e">
        <f>ROUNDUP(H4/G5,2)</f>
        <v>#REF!</v>
      </c>
      <c r="I5" s="11" t="e">
        <f>'DEMANDE DE PERSONNEL'!#REF!</f>
        <v>#REF!</v>
      </c>
      <c r="O5" s="131" t="s">
        <v>85</v>
      </c>
    </row>
    <row r="6" spans="2:15" ht="15">
      <c r="B6" s="2" t="s">
        <v>12</v>
      </c>
      <c r="D6" t="s">
        <v>218</v>
      </c>
      <c r="G6" s="24" t="s">
        <v>31</v>
      </c>
      <c r="H6" s="13" t="e">
        <f>ROUNDUP(H5*12/G5,2)</f>
        <v>#REF!</v>
      </c>
      <c r="I6" s="13" t="e">
        <f>ROUNDUP(I5*12/G5,2)</f>
        <v>#REF!</v>
      </c>
      <c r="O6" s="131" t="s">
        <v>86</v>
      </c>
    </row>
    <row r="7" spans="2:15" ht="15">
      <c r="B7" s="5" t="s">
        <v>17</v>
      </c>
      <c r="D7" t="s">
        <v>22</v>
      </c>
      <c r="G7" s="24" t="s">
        <v>24</v>
      </c>
      <c r="H7" s="13" t="e">
        <f>ROUNDUP(H6/151.67,2)</f>
        <v>#REF!</v>
      </c>
      <c r="I7" s="13" t="e">
        <f>ROUNDUP(I6/151.67,2)</f>
        <v>#REF!</v>
      </c>
      <c r="O7" s="131" t="s">
        <v>87</v>
      </c>
    </row>
    <row r="8" spans="2:9" ht="15">
      <c r="B8" s="2" t="s">
        <v>13</v>
      </c>
      <c r="D8" t="s">
        <v>221</v>
      </c>
      <c r="G8" s="27" t="s">
        <v>32</v>
      </c>
      <c r="H8" s="28" t="e">
        <f>IF(G5=12,0,H7/12)</f>
        <v>#REF!</v>
      </c>
      <c r="I8" s="28" t="e">
        <f>IF(G5=12,0,I7/12)</f>
        <v>#REF!</v>
      </c>
    </row>
    <row r="9" spans="2:4" ht="15">
      <c r="B9" s="2" t="s">
        <v>14</v>
      </c>
      <c r="D9" s="53" t="s">
        <v>200</v>
      </c>
    </row>
    <row r="10" spans="2:4" ht="15">
      <c r="B10" s="4" t="s">
        <v>16</v>
      </c>
      <c r="D10" t="s">
        <v>222</v>
      </c>
    </row>
    <row r="11" spans="2:10" ht="15.75" thickBot="1">
      <c r="B11" s="6" t="s">
        <v>18</v>
      </c>
      <c r="D11" t="s">
        <v>198</v>
      </c>
      <c r="H11" t="s">
        <v>38</v>
      </c>
      <c r="J11" s="38"/>
    </row>
    <row r="12" spans="2:10" ht="15.75" thickBot="1">
      <c r="B12" t="s">
        <v>19</v>
      </c>
      <c r="D12" t="s">
        <v>199</v>
      </c>
      <c r="H12" s="37" t="s">
        <v>36</v>
      </c>
      <c r="I12" s="36"/>
      <c r="J12" s="35">
        <f>'DEMANDE DE PERSONNEL'!C64</f>
        <v>2500</v>
      </c>
    </row>
    <row r="13" spans="2:10" ht="15">
      <c r="B13" t="s">
        <v>20</v>
      </c>
      <c r="H13" s="34" t="s">
        <v>37</v>
      </c>
      <c r="J13">
        <f>(J12*G16)/12</f>
        <v>2916.6666666666665</v>
      </c>
    </row>
    <row r="14" ht="15.75" thickBot="1"/>
    <row r="15" spans="2:9" ht="16.5" thickBot="1">
      <c r="B15">
        <v>1</v>
      </c>
      <c r="C15" t="s">
        <v>0</v>
      </c>
      <c r="G15" s="24" t="s">
        <v>23</v>
      </c>
      <c r="H15" s="11">
        <f>'DEMANDE DE PERSONNEL'!C63</f>
        <v>0</v>
      </c>
      <c r="I15" s="12">
        <f>I16*13</f>
        <v>37916.666666666664</v>
      </c>
    </row>
    <row r="16" spans="2:9" ht="16.5" thickBot="1">
      <c r="B16">
        <v>2</v>
      </c>
      <c r="C16" t="s">
        <v>1</v>
      </c>
      <c r="D16">
        <v>2019</v>
      </c>
      <c r="F16" s="25" t="s">
        <v>30</v>
      </c>
      <c r="G16" s="26">
        <f>'DEMANDE DE PERSONNEL'!E63</f>
        <v>14</v>
      </c>
      <c r="H16" s="12">
        <f>ROUNDUP(H15/G16,2)</f>
        <v>0</v>
      </c>
      <c r="I16" s="11">
        <f>J13</f>
        <v>2916.6666666666665</v>
      </c>
    </row>
    <row r="17" spans="2:18" ht="15">
      <c r="B17">
        <v>3</v>
      </c>
      <c r="C17" t="s">
        <v>2</v>
      </c>
      <c r="D17">
        <v>2020</v>
      </c>
      <c r="G17" s="24" t="s">
        <v>31</v>
      </c>
      <c r="H17" s="13">
        <f>ROUNDUP(H15/12,2)</f>
        <v>0</v>
      </c>
      <c r="I17" s="13">
        <f>ROUNDUP(I16*12/G16,2)</f>
        <v>2500</v>
      </c>
      <c r="R17" t="s">
        <v>194</v>
      </c>
    </row>
    <row r="18" spans="2:18" ht="15">
      <c r="B18">
        <v>4</v>
      </c>
      <c r="C18" t="s">
        <v>3</v>
      </c>
      <c r="D18">
        <v>2021</v>
      </c>
      <c r="G18" s="24" t="s">
        <v>24</v>
      </c>
      <c r="H18" s="13">
        <f>IF('DEMANDE DE PERSONNEL'!G63&lt;35,(H17/(151.67+(H21*52/12))),(H17/(151.67+(H21*52/12*1.25))))</f>
        <v>0</v>
      </c>
      <c r="I18" s="13">
        <f>IF('DEMANDE DE PERSONNEL'!G63&lt;35,I17/(151.67+(H21*52/12)),I17/(151.67+(H21*52/12*1.25)))</f>
        <v>15.384299809234683</v>
      </c>
      <c r="R18" t="s">
        <v>195</v>
      </c>
    </row>
    <row r="19" spans="2:18" ht="15">
      <c r="B19">
        <v>5</v>
      </c>
      <c r="C19" t="s">
        <v>4</v>
      </c>
      <c r="D19">
        <v>2022</v>
      </c>
      <c r="G19" s="27" t="s">
        <v>32</v>
      </c>
      <c r="H19" s="99">
        <f>IF(G16=12,0,H18/12)*(LEFT('DEMANDE DE PERSONNEL'!E63,2)-12)+N21</f>
        <v>0</v>
      </c>
      <c r="I19" s="28">
        <f>MOD('DEMANDE DE PERSONNEL'!E63,1)*IF(G16=12,0,I18/12)</f>
        <v>0</v>
      </c>
      <c r="R19" t="s">
        <v>196</v>
      </c>
    </row>
    <row r="20" spans="2:3" ht="15">
      <c r="B20">
        <v>6</v>
      </c>
      <c r="C20" t="s">
        <v>5</v>
      </c>
    </row>
    <row r="21" spans="2:14" ht="15">
      <c r="B21">
        <v>7</v>
      </c>
      <c r="C21" t="s">
        <v>6</v>
      </c>
      <c r="F21" t="s">
        <v>48</v>
      </c>
      <c r="H21" s="38">
        <f>J21-35</f>
        <v>2</v>
      </c>
      <c r="J21" s="38">
        <f>'DEMANDE DE PERSONNEL'!G63</f>
        <v>37</v>
      </c>
      <c r="K21" t="s">
        <v>41</v>
      </c>
      <c r="N21" s="106">
        <f>MOD('DEMANDE DE PERSONNEL'!E63,1)*IF(G16=12,0,H18/12)</f>
        <v>0</v>
      </c>
    </row>
    <row r="22" spans="2:3" ht="15.75" thickBot="1">
      <c r="B22">
        <v>8</v>
      </c>
      <c r="C22" t="s">
        <v>7</v>
      </c>
    </row>
    <row r="23" spans="2:9" ht="15.75" thickBot="1">
      <c r="B23">
        <v>9</v>
      </c>
      <c r="C23" t="s">
        <v>8</v>
      </c>
      <c r="G23" s="55">
        <f>1.9*'DEMANDE DE PERSONNEL'!G76</f>
        <v>1.9</v>
      </c>
      <c r="I23" s="96">
        <f>IF(G16=12,0,I18/12)*(LEFT('DEMANDE DE PERSONNEL'!E63,2)-12)+I19</f>
        <v>2.5640499682057807</v>
      </c>
    </row>
    <row r="24" spans="2:14" ht="15">
      <c r="B24">
        <v>10</v>
      </c>
      <c r="C24" t="s">
        <v>9</v>
      </c>
      <c r="L24" t="s">
        <v>44</v>
      </c>
      <c r="N24" s="54">
        <f>I15/G16</f>
        <v>2708.333333333333</v>
      </c>
    </row>
    <row r="25" spans="2:3" ht="15">
      <c r="B25">
        <v>11</v>
      </c>
      <c r="C25" t="s">
        <v>10</v>
      </c>
    </row>
    <row r="26" spans="2:10" ht="15">
      <c r="B26">
        <v>12</v>
      </c>
      <c r="C26" t="s">
        <v>11</v>
      </c>
      <c r="H26">
        <v>151.67</v>
      </c>
      <c r="J26">
        <f>LEFT('DEMANDE DE PERSONNEL'!E63,2)-12</f>
        <v>2</v>
      </c>
    </row>
    <row r="27" ht="15">
      <c r="B27">
        <v>13</v>
      </c>
    </row>
    <row r="28" ht="15">
      <c r="B28">
        <v>14</v>
      </c>
    </row>
    <row r="29" spans="2:10" ht="15">
      <c r="B29">
        <v>15</v>
      </c>
      <c r="E29" s="34" t="s">
        <v>39</v>
      </c>
      <c r="G29" s="39">
        <f>'DEMANDE DE PERSONNEL'!C68</f>
        <v>0</v>
      </c>
      <c r="H29" s="34" t="s">
        <v>33</v>
      </c>
      <c r="I29" s="40">
        <f>'DEMANDE DE PERSONNEL'!E68</f>
        <v>14</v>
      </c>
      <c r="J29" s="34" t="s">
        <v>34</v>
      </c>
    </row>
    <row r="30" ht="15.75" thickBot="1">
      <c r="B30">
        <v>16</v>
      </c>
    </row>
    <row r="31" spans="2:11" ht="15.75" thickBot="1">
      <c r="B31">
        <v>17</v>
      </c>
      <c r="E31" s="360" t="s">
        <v>29</v>
      </c>
      <c r="F31" s="361"/>
      <c r="G31" s="18">
        <f>ROUNDUP(G29/I29,2)</f>
        <v>0</v>
      </c>
      <c r="H31" s="41" t="s">
        <v>40</v>
      </c>
      <c r="I31" s="42">
        <f>'DEMANDE DE PERSONNEL'!G68</f>
        <v>37</v>
      </c>
      <c r="J31" s="34" t="s">
        <v>41</v>
      </c>
      <c r="K31">
        <f>F34*52/12*1.25</f>
        <v>10.833333333333332</v>
      </c>
    </row>
    <row r="32" spans="2:9" ht="15">
      <c r="B32">
        <v>18</v>
      </c>
      <c r="E32" s="362" t="s">
        <v>28</v>
      </c>
      <c r="F32" s="362"/>
      <c r="G32" s="17">
        <f>IF('DEMANDE DE PERSONNEL'!G68&lt;35,(G31/(151.67+(F34*52/12))),(G31/(151.67+(F34*52/12*1.25))))</f>
        <v>0</v>
      </c>
      <c r="H32" s="10"/>
      <c r="I32" s="10">
        <v>3</v>
      </c>
    </row>
    <row r="33" spans="2:9" ht="15">
      <c r="B33">
        <v>19</v>
      </c>
      <c r="E33" s="10" t="s">
        <v>42</v>
      </c>
      <c r="F33" s="19">
        <v>35</v>
      </c>
      <c r="G33" s="43">
        <f>G32*F33</f>
        <v>0</v>
      </c>
      <c r="H33" s="10"/>
      <c r="I33" s="10"/>
    </row>
    <row r="34" spans="2:9" ht="15">
      <c r="B34">
        <v>20</v>
      </c>
      <c r="E34" s="10" t="s">
        <v>43</v>
      </c>
      <c r="F34" s="16">
        <f>(I31-35)</f>
        <v>2</v>
      </c>
      <c r="G34" s="43">
        <f>G32*F34*(1+(H34/100))</f>
        <v>0</v>
      </c>
      <c r="H34" s="16">
        <v>25</v>
      </c>
      <c r="I34" s="10" t="s">
        <v>27</v>
      </c>
    </row>
    <row r="35" spans="2:9" ht="15">
      <c r="B35">
        <v>21</v>
      </c>
      <c r="E35" s="10" t="s">
        <v>26</v>
      </c>
      <c r="F35" s="10"/>
      <c r="G35" s="43">
        <f>G34+G33</f>
        <v>0</v>
      </c>
      <c r="H35" s="10"/>
      <c r="I35" s="10"/>
    </row>
    <row r="36" spans="2:9" ht="15">
      <c r="B36">
        <v>22</v>
      </c>
      <c r="E36" s="10" t="s">
        <v>25</v>
      </c>
      <c r="F36" s="10"/>
      <c r="G36" s="44">
        <f>G35*4.33</f>
        <v>0</v>
      </c>
      <c r="H36" s="10"/>
      <c r="I36" s="10"/>
    </row>
    <row r="37" spans="2:7" ht="15">
      <c r="B37">
        <v>23</v>
      </c>
      <c r="E37">
        <f>I29</f>
        <v>14</v>
      </c>
      <c r="F37" s="34" t="s">
        <v>34</v>
      </c>
      <c r="G37" s="99">
        <f>IF(I29=12,0,G32/12)*(LEFT('DEMANDE DE PERSONNEL'!E68,2)-12)+I39</f>
        <v>0</v>
      </c>
    </row>
    <row r="38" ht="15">
      <c r="B38">
        <v>24</v>
      </c>
    </row>
    <row r="39" spans="2:9" ht="15">
      <c r="B39">
        <v>25</v>
      </c>
      <c r="I39" s="100">
        <f>MOD('DEMANDE DE PERSONNEL'!E68,1)*IF(I29=12,0,G32/12)</f>
        <v>0</v>
      </c>
    </row>
    <row r="40" ht="15">
      <c r="B40">
        <v>26</v>
      </c>
    </row>
    <row r="41" ht="15">
      <c r="B41">
        <v>27</v>
      </c>
    </row>
    <row r="42" spans="2:10" ht="15">
      <c r="B42">
        <v>28</v>
      </c>
      <c r="E42" s="34" t="s">
        <v>39</v>
      </c>
      <c r="G42" s="39" t="e">
        <f>'DEMANDE DE PERSONNEL'!#REF!</f>
        <v>#REF!</v>
      </c>
      <c r="H42" s="34" t="s">
        <v>33</v>
      </c>
      <c r="I42" s="40">
        <f>'DEMANDE DE PERSONNEL'!E68</f>
        <v>14</v>
      </c>
      <c r="J42" s="34" t="s">
        <v>34</v>
      </c>
    </row>
    <row r="43" ht="15.75" thickBot="1">
      <c r="B43">
        <v>29</v>
      </c>
    </row>
    <row r="44" spans="2:11" ht="15.75" thickBot="1">
      <c r="B44">
        <v>30</v>
      </c>
      <c r="E44" s="360" t="s">
        <v>29</v>
      </c>
      <c r="F44" s="361"/>
      <c r="G44" s="18">
        <f>ROUNDUP('DEMANDE DE PERSONNEL'!C69*12,2)</f>
        <v>30000</v>
      </c>
      <c r="H44" s="41" t="s">
        <v>40</v>
      </c>
      <c r="I44" s="42">
        <f>'DEMANDE DE PERSONNEL'!G68</f>
        <v>37</v>
      </c>
      <c r="J44" s="34" t="s">
        <v>41</v>
      </c>
      <c r="K44">
        <f>F47*52/12*1.25</f>
        <v>10.833333333333332</v>
      </c>
    </row>
    <row r="45" spans="2:9" ht="15">
      <c r="B45">
        <v>31</v>
      </c>
      <c r="E45" s="362" t="s">
        <v>28</v>
      </c>
      <c r="F45" s="362"/>
      <c r="G45" s="17">
        <f>IF('DEMANDE DE PERSONNEL'!G68&lt;35,G53/(151.67+(F47*52/12)),G53/(151.67+(F47*52/12*1.25)))</f>
        <v>13.186542693629727</v>
      </c>
      <c r="H45" s="10"/>
      <c r="I45" s="10">
        <v>3</v>
      </c>
    </row>
    <row r="46" spans="5:9" ht="15">
      <c r="E46" s="10" t="s">
        <v>42</v>
      </c>
      <c r="F46" s="19">
        <v>35</v>
      </c>
      <c r="G46" s="43">
        <f>G45*F46</f>
        <v>461.52899427704045</v>
      </c>
      <c r="H46" s="10"/>
      <c r="I46" s="10"/>
    </row>
    <row r="47" spans="5:9" ht="15">
      <c r="E47" s="10" t="s">
        <v>43</v>
      </c>
      <c r="F47" s="16">
        <f>(I44-35)</f>
        <v>2</v>
      </c>
      <c r="G47" s="43">
        <f>G45*F47*(1+(H47/100))</f>
        <v>32.96635673407432</v>
      </c>
      <c r="H47" s="16">
        <v>25</v>
      </c>
      <c r="I47" s="10" t="s">
        <v>27</v>
      </c>
    </row>
    <row r="48" spans="5:9" ht="15">
      <c r="E48" s="10" t="s">
        <v>26</v>
      </c>
      <c r="F48" s="10"/>
      <c r="G48" s="43">
        <f>G47+G46</f>
        <v>494.4953510111148</v>
      </c>
      <c r="H48" s="10"/>
      <c r="I48" s="10"/>
    </row>
    <row r="49" spans="5:9" ht="15">
      <c r="E49" s="10" t="s">
        <v>25</v>
      </c>
      <c r="F49" s="10"/>
      <c r="G49" s="44">
        <f>G48*4.33</f>
        <v>2141.164869878127</v>
      </c>
      <c r="H49" s="10"/>
      <c r="I49" s="10"/>
    </row>
    <row r="50" spans="5:7" ht="15">
      <c r="E50">
        <f>I42</f>
        <v>14</v>
      </c>
      <c r="F50" s="34" t="s">
        <v>34</v>
      </c>
      <c r="G50" s="99">
        <f>IF(I42=12,0,G45/12)*(LEFT('DEMANDE DE PERSONNEL'!E68,2)-12)+I52</f>
        <v>2.1977571156049547</v>
      </c>
    </row>
    <row r="52" ht="15">
      <c r="I52" s="100">
        <f>MOD('DEMANDE DE PERSONNEL'!E68,1)*IF(I42=12,0,G45/12)</f>
        <v>0</v>
      </c>
    </row>
    <row r="53" spans="5:7" ht="15">
      <c r="E53" t="s">
        <v>44</v>
      </c>
      <c r="G53" s="45">
        <f>G44/I42</f>
        <v>2142.8571428571427</v>
      </c>
    </row>
    <row r="59" spans="5:6" ht="15">
      <c r="E59" s="50" t="s">
        <v>191</v>
      </c>
      <c r="F59" s="51" t="s">
        <v>46</v>
      </c>
    </row>
    <row r="60" spans="5:6" ht="15">
      <c r="E60" s="49" t="s">
        <v>201</v>
      </c>
      <c r="F60" s="52">
        <v>2.04</v>
      </c>
    </row>
    <row r="61" spans="5:6" ht="15">
      <c r="E61" s="293" t="s">
        <v>202</v>
      </c>
      <c r="F61" s="52">
        <v>2.64</v>
      </c>
    </row>
    <row r="62" spans="5:6" ht="15">
      <c r="E62" s="293" t="s">
        <v>203</v>
      </c>
      <c r="F62" s="52">
        <v>3.2</v>
      </c>
    </row>
    <row r="63" spans="5:6" ht="15">
      <c r="E63" s="293" t="s">
        <v>204</v>
      </c>
      <c r="F63" s="52">
        <v>3.44</v>
      </c>
    </row>
    <row r="64" spans="5:6" ht="15">
      <c r="E64" s="293" t="s">
        <v>205</v>
      </c>
      <c r="F64" s="52">
        <v>1.93</v>
      </c>
    </row>
    <row r="65" spans="5:6" ht="15">
      <c r="E65" s="293" t="s">
        <v>206</v>
      </c>
      <c r="F65" s="52">
        <v>2.44</v>
      </c>
    </row>
    <row r="66" spans="5:6" ht="15">
      <c r="E66" s="293" t="s">
        <v>207</v>
      </c>
      <c r="F66" s="52">
        <v>2.82</v>
      </c>
    </row>
    <row r="67" spans="5:6" ht="15">
      <c r="E67" s="293" t="s">
        <v>208</v>
      </c>
      <c r="F67" s="52">
        <v>1.85</v>
      </c>
    </row>
    <row r="68" spans="5:6" ht="15">
      <c r="E68" s="293" t="s">
        <v>209</v>
      </c>
      <c r="F68" s="52">
        <v>2.25</v>
      </c>
    </row>
    <row r="69" spans="5:6" ht="15">
      <c r="E69" s="293" t="s">
        <v>210</v>
      </c>
      <c r="F69" s="52">
        <v>1.8</v>
      </c>
    </row>
    <row r="70" spans="5:6" ht="15">
      <c r="E70" s="293" t="s">
        <v>192</v>
      </c>
      <c r="F70" s="291"/>
    </row>
    <row r="71" spans="5:6" ht="15">
      <c r="E71" s="293" t="s">
        <v>94</v>
      </c>
      <c r="F71" s="293"/>
    </row>
    <row r="72" spans="5:6" ht="15">
      <c r="E72" s="293" t="s">
        <v>211</v>
      </c>
      <c r="F72" s="52"/>
    </row>
    <row r="73" spans="5:6" ht="15">
      <c r="E73" s="293" t="s">
        <v>197</v>
      </c>
      <c r="F73" s="293"/>
    </row>
    <row r="74" spans="5:6" ht="15">
      <c r="E74" s="293">
        <v>1.74</v>
      </c>
      <c r="F74" s="293">
        <v>1.74</v>
      </c>
    </row>
  </sheetData>
  <sheetProtection/>
  <mergeCells count="5">
    <mergeCell ref="E31:F31"/>
    <mergeCell ref="E32:F32"/>
    <mergeCell ref="E44:F44"/>
    <mergeCell ref="E45:F45"/>
    <mergeCell ref="E1:I2"/>
  </mergeCells>
  <conditionalFormatting sqref="B5">
    <cfRule type="containsText" priority="5" dxfId="22" operator="containsText" stopIfTrue="1" text="MALADIE">
      <formula>NOT(ISERROR(SEARCH("MALADIE",B5)))</formula>
    </cfRule>
  </conditionalFormatting>
  <conditionalFormatting sqref="B6">
    <cfRule type="containsText" priority="4" dxfId="22" operator="containsText" stopIfTrue="1" text="ABSENCE">
      <formula>NOT(ISERROR(SEARCH("ABSENCE",B6)))</formula>
    </cfRule>
  </conditionalFormatting>
  <conditionalFormatting sqref="B7">
    <cfRule type="containsText" priority="3" dxfId="24" operator="containsText" stopIfTrue="1" text="CP">
      <formula>NOT(ISERROR(SEARCH("CP",B7)))</formula>
    </cfRule>
  </conditionalFormatting>
  <conditionalFormatting sqref="B8">
    <cfRule type="containsText" priority="2" dxfId="24" operator="containsText" stopIfTrue="1" text="RTT">
      <formula>NOT(ISERROR(SEARCH("RTT",B8)))</formula>
    </cfRule>
  </conditionalFormatting>
  <conditionalFormatting sqref="B9">
    <cfRule type="containsText" priority="1" dxfId="25" operator="containsText" stopIfTrue="1" text="FERIÉ">
      <formula>NOT(ISERROR(SEARCH("FERIÉ",B9)))</formula>
    </cfRule>
  </conditionalFormatting>
  <printOptions/>
  <pageMargins left="0.7" right="0.7" top="0.75" bottom="0.75" header="0.3" footer="0.3"/>
  <pageSetup horizontalDpi="600" verticalDpi="600" orientation="portrait" paperSize="9" r:id="rId4"/>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FREAL-SAISON</dc:creator>
  <cp:keywords/>
  <dc:description/>
  <cp:lastModifiedBy>Alex Motilla</cp:lastModifiedBy>
  <cp:lastPrinted>2018-01-05T16:03:40Z</cp:lastPrinted>
  <dcterms:created xsi:type="dcterms:W3CDTF">2010-01-17T17:43:39Z</dcterms:created>
  <dcterms:modified xsi:type="dcterms:W3CDTF">2019-05-16T14:55:06Z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